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Septiembre\Financiero\"/>
    </mc:Choice>
  </mc:AlternateContent>
  <bookViews>
    <workbookView xWindow="0" yWindow="0" windowWidth="20490" windowHeight="7365"/>
  </bookViews>
  <sheets>
    <sheet name="Hoja1" sheetId="1" r:id="rId1"/>
  </sheets>
  <externalReferences>
    <externalReference r:id="rId2"/>
  </externalReferences>
  <definedNames>
    <definedName name="_xlnm._FilterDatabase" localSheetId="0" hidden="1">Hoja1!$A$1:$M$101</definedName>
    <definedName name="_xlnm.Print_Area" localSheetId="0">Hoja1!$C$1:$I$101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3" i="1" l="1"/>
  <c r="D91" i="1"/>
  <c r="D90" i="1"/>
  <c r="D83" i="1"/>
  <c r="D79" i="1"/>
  <c r="D76" i="1"/>
  <c r="D71" i="1"/>
  <c r="D63" i="1"/>
  <c r="D50" i="1"/>
  <c r="D46" i="1"/>
  <c r="D45" i="1"/>
  <c r="D41" i="1"/>
  <c r="D38" i="1"/>
  <c r="D30" i="1"/>
  <c r="D20" i="1"/>
  <c r="D16" i="1"/>
  <c r="D11" i="1"/>
  <c r="D10" i="1"/>
  <c r="D9" i="1"/>
  <c r="D8" i="1"/>
  <c r="I48" i="1" l="1"/>
  <c r="I47" i="1"/>
  <c r="I95" i="1" l="1"/>
  <c r="I94" i="1"/>
  <c r="I93" i="1"/>
  <c r="I92" i="1"/>
  <c r="I91" i="1"/>
  <c r="I89" i="1"/>
  <c r="I88" i="1"/>
  <c r="I87" i="1"/>
  <c r="I86" i="1"/>
  <c r="I85" i="1"/>
  <c r="I84" i="1"/>
  <c r="I82" i="1"/>
  <c r="I81" i="1"/>
  <c r="I80" i="1"/>
  <c r="I78" i="1"/>
  <c r="I77" i="1"/>
  <c r="I75" i="1"/>
  <c r="I74" i="1"/>
  <c r="I73" i="1"/>
  <c r="I72" i="1"/>
  <c r="I70" i="1"/>
  <c r="I69" i="1"/>
  <c r="I68" i="1"/>
  <c r="I67" i="1"/>
  <c r="I66" i="1"/>
  <c r="I65" i="1"/>
  <c r="I64" i="1"/>
  <c r="I62" i="1"/>
  <c r="I61" i="1"/>
  <c r="I60" i="1"/>
  <c r="I59" i="1"/>
  <c r="I58" i="1"/>
  <c r="I57" i="1"/>
  <c r="I56" i="1"/>
  <c r="I55" i="1"/>
  <c r="I54" i="1"/>
  <c r="I53" i="1"/>
  <c r="I52" i="1"/>
  <c r="I51" i="1"/>
  <c r="I49" i="1"/>
  <c r="I44" i="1"/>
  <c r="I43" i="1"/>
  <c r="I42" i="1"/>
  <c r="I40" i="1"/>
  <c r="I39" i="1"/>
  <c r="I37" i="1"/>
  <c r="I36" i="1"/>
  <c r="I35" i="1"/>
  <c r="I34" i="1"/>
  <c r="I33" i="1"/>
  <c r="I32" i="1"/>
  <c r="I31" i="1"/>
  <c r="I29" i="1"/>
  <c r="I28" i="1"/>
  <c r="I27" i="1"/>
  <c r="I26" i="1"/>
  <c r="I25" i="1"/>
  <c r="I24" i="1"/>
  <c r="I23" i="1"/>
  <c r="I22" i="1"/>
  <c r="I21" i="1"/>
  <c r="I19" i="1"/>
  <c r="I18" i="1"/>
  <c r="I17" i="1"/>
  <c r="I15" i="1"/>
  <c r="I14" i="1"/>
  <c r="I13" i="1"/>
  <c r="I12" i="1"/>
  <c r="I83" i="1" l="1"/>
  <c r="H90" i="1" l="1"/>
  <c r="G90" i="1"/>
  <c r="F90" i="1"/>
  <c r="E90" i="1"/>
  <c r="H83" i="1"/>
  <c r="G83" i="1"/>
  <c r="F83" i="1"/>
  <c r="E83" i="1"/>
  <c r="H79" i="1"/>
  <c r="G79" i="1"/>
  <c r="F79" i="1"/>
  <c r="E79" i="1"/>
  <c r="H76" i="1"/>
  <c r="G76" i="1"/>
  <c r="F76" i="1"/>
  <c r="E76" i="1"/>
  <c r="H71" i="1"/>
  <c r="G71" i="1"/>
  <c r="F71" i="1"/>
  <c r="E71" i="1"/>
  <c r="H63" i="1"/>
  <c r="G63" i="1"/>
  <c r="F63" i="1"/>
  <c r="E63" i="1"/>
  <c r="H50" i="1"/>
  <c r="G50" i="1"/>
  <c r="F50" i="1"/>
  <c r="E50" i="1"/>
  <c r="H46" i="1"/>
  <c r="G46" i="1"/>
  <c r="F46" i="1"/>
  <c r="E46" i="1"/>
  <c r="H45" i="1"/>
  <c r="G45" i="1"/>
  <c r="F45" i="1"/>
  <c r="E45" i="1"/>
  <c r="H41" i="1"/>
  <c r="G41" i="1"/>
  <c r="F41" i="1"/>
  <c r="E41" i="1"/>
  <c r="H38" i="1"/>
  <c r="G38" i="1"/>
  <c r="F38" i="1"/>
  <c r="E38" i="1"/>
  <c r="H30" i="1"/>
  <c r="G30" i="1"/>
  <c r="F30" i="1"/>
  <c r="E30" i="1"/>
  <c r="H20" i="1"/>
  <c r="G20" i="1"/>
  <c r="F20" i="1"/>
  <c r="E20" i="1"/>
  <c r="H16" i="1"/>
  <c r="G16" i="1"/>
  <c r="F16" i="1"/>
  <c r="E16" i="1"/>
  <c r="H11" i="1"/>
  <c r="H10" i="1" s="1"/>
  <c r="G11" i="1"/>
  <c r="G10" i="1" s="1"/>
  <c r="G9" i="1" s="1"/>
  <c r="G8" i="1" s="1"/>
  <c r="F11" i="1"/>
  <c r="F10" i="1" s="1"/>
  <c r="F9" i="1" s="1"/>
  <c r="F8" i="1" s="1"/>
  <c r="E11" i="1"/>
  <c r="E10" i="1" s="1"/>
  <c r="E9" i="1" l="1"/>
  <c r="E8" i="1" s="1"/>
  <c r="H9" i="1"/>
  <c r="H8" i="1" s="1"/>
  <c r="I20" i="1"/>
  <c r="I46" i="1" l="1"/>
  <c r="I50" i="1"/>
  <c r="I63" i="1"/>
  <c r="I71" i="1"/>
  <c r="I76" i="1"/>
  <c r="I79" i="1"/>
  <c r="I45" i="1" l="1"/>
  <c r="I90" i="1"/>
  <c r="I41" i="1" l="1"/>
  <c r="I38" i="1"/>
  <c r="I30" i="1"/>
  <c r="I16" i="1"/>
  <c r="I11" i="1"/>
  <c r="I10" i="1" l="1"/>
  <c r="I9" i="1" l="1"/>
  <c r="I8" i="1" l="1"/>
  <c r="B12" i="1"/>
  <c r="B13" i="1"/>
  <c r="B14" i="1"/>
  <c r="B15" i="1"/>
  <c r="B17" i="1"/>
  <c r="B18" i="1"/>
</calcChain>
</file>

<file path=xl/sharedStrings.xml><?xml version="1.0" encoding="utf-8"?>
<sst xmlns="http://schemas.openxmlformats.org/spreadsheetml/2006/main" count="107" uniqueCount="104">
  <si>
    <t>República de Panamá</t>
  </si>
  <si>
    <t>CONTRALORÍA GENERAL DE LA REPÚBLICA</t>
  </si>
  <si>
    <t>Instituto Nacional de Estadística y Censo</t>
  </si>
  <si>
    <t>Sector y actividad económica</t>
  </si>
  <si>
    <t>Marzo</t>
  </si>
  <si>
    <t>Junio</t>
  </si>
  <si>
    <t>Septiembre</t>
  </si>
  <si>
    <t xml:space="preserve">Diciembre       </t>
  </si>
  <si>
    <t xml:space="preserve">                         TOTAL</t>
  </si>
  <si>
    <t>Sector interno</t>
  </si>
  <si>
    <t>Sector externo</t>
  </si>
  <si>
    <t>(1)  Se refiere a los bancos oficiales y privados de licencia general.</t>
  </si>
  <si>
    <t>(2)  Incluye sector forestal.</t>
  </si>
  <si>
    <t>Fuente: Superintendencia de Bancos de Panamá.</t>
  </si>
  <si>
    <t>Agricultura (2)</t>
  </si>
  <si>
    <t>Leguminosas</t>
  </si>
  <si>
    <t>Cultivos</t>
  </si>
  <si>
    <t>Granos</t>
  </si>
  <si>
    <t>Frijol</t>
  </si>
  <si>
    <t>Silvicultura</t>
  </si>
  <si>
    <t>Ganadería</t>
  </si>
  <si>
    <t>Bovino</t>
  </si>
  <si>
    <t>Pesca</t>
  </si>
  <si>
    <t>Comercio</t>
  </si>
  <si>
    <t>Al por mayor</t>
  </si>
  <si>
    <t>Zona Libre</t>
  </si>
  <si>
    <t>Resto del país</t>
  </si>
  <si>
    <t>Al  por menor</t>
  </si>
  <si>
    <t>Servicios</t>
  </si>
  <si>
    <t>Industrias</t>
  </si>
  <si>
    <t>ONG</t>
  </si>
  <si>
    <t>Gobierno central</t>
  </si>
  <si>
    <t>Municipios</t>
  </si>
  <si>
    <t>Entidades autónomas.</t>
  </si>
  <si>
    <t>Cooperativas</t>
  </si>
  <si>
    <t>Compañías de seguros</t>
  </si>
  <si>
    <t>Empresas financieras</t>
  </si>
  <si>
    <t>Bancos casa matriz, sucursales</t>
  </si>
  <si>
    <t>Otros bancos</t>
  </si>
  <si>
    <t>Organismos internacionales</t>
  </si>
  <si>
    <t>Consumo personal</t>
  </si>
  <si>
    <t>Financieras</t>
  </si>
  <si>
    <t>Hipotecas</t>
  </si>
  <si>
    <t>Vivienda hipotecaria</t>
  </si>
  <si>
    <t>Hipoteca local comercial</t>
  </si>
  <si>
    <t>Préstamo personal</t>
  </si>
  <si>
    <t>Préstamo personal auto</t>
  </si>
  <si>
    <t>Segunda vivienda hipotecaria</t>
  </si>
  <si>
    <t>Vivienda interino</t>
  </si>
  <si>
    <t>Local comercial interino</t>
  </si>
  <si>
    <t>Infraestructura</t>
  </si>
  <si>
    <t>Otras construcciones</t>
  </si>
  <si>
    <t>Construcción</t>
  </si>
  <si>
    <t>Producción y generación eléctrica</t>
  </si>
  <si>
    <t>Alimentos, bebidas y tabaco</t>
  </si>
  <si>
    <t>Vestidos y zapatos</t>
  </si>
  <si>
    <t>Acero y materiales de construcción</t>
  </si>
  <si>
    <t>Petróleo y derivados</t>
  </si>
  <si>
    <t>Puertos y ferrocarriles</t>
  </si>
  <si>
    <t>Otras industrias manufactureras</t>
  </si>
  <si>
    <t>Turismo</t>
  </si>
  <si>
    <t>Transporte colectivo</t>
  </si>
  <si>
    <t>Transporte colegial</t>
  </si>
  <si>
    <t>Transporte selectivo</t>
  </si>
  <si>
    <t>Industrial y comercial</t>
  </si>
  <si>
    <t>Educación</t>
  </si>
  <si>
    <t>Esparcimiento, bares, casinos, etc.</t>
  </si>
  <si>
    <t>Restaurantes</t>
  </si>
  <si>
    <t>Alquileres y mantenimiento</t>
  </si>
  <si>
    <t>Médicos</t>
  </si>
  <si>
    <t>Otros servicios</t>
  </si>
  <si>
    <t>Comunicaciones</t>
  </si>
  <si>
    <t>Minas y Canteras</t>
  </si>
  <si>
    <t>Acuicultura</t>
  </si>
  <si>
    <t>Minas</t>
  </si>
  <si>
    <t>Canteras</t>
  </si>
  <si>
    <t>Salinas</t>
  </si>
  <si>
    <t>Porcino</t>
  </si>
  <si>
    <t>Avícola</t>
  </si>
  <si>
    <t>Caballar</t>
  </si>
  <si>
    <t>Otros animales</t>
  </si>
  <si>
    <t>Leche fresca</t>
  </si>
  <si>
    <t>Apicultura</t>
  </si>
  <si>
    <t>Arroz</t>
  </si>
  <si>
    <t>Maíz</t>
  </si>
  <si>
    <t>Sorgo</t>
  </si>
  <si>
    <t>Otros granos</t>
  </si>
  <si>
    <t>Otras leguminosas</t>
  </si>
  <si>
    <t>Café</t>
  </si>
  <si>
    <t>Banano</t>
  </si>
  <si>
    <t>Papa</t>
  </si>
  <si>
    <t>Cebolla</t>
  </si>
  <si>
    <t>Tomate</t>
  </si>
  <si>
    <t>Caña</t>
  </si>
  <si>
    <t>Forestal</t>
  </si>
  <si>
    <t>Otros cultivos</t>
  </si>
  <si>
    <t>Soya</t>
  </si>
  <si>
    <t>(P)  Cifras preliminares.</t>
  </si>
  <si>
    <t>NOTA: Debido al redondeo del computador, la suma puede no coincidir.</t>
  </si>
  <si>
    <t>Saldo de los préstamos concedidos por el Sistema Bancario Nacional (1)                                                                                                                 (En millones de balboas)</t>
  </si>
  <si>
    <t>Sector público</t>
  </si>
  <si>
    <t>0    Cuando la cantidad es menor a la mitad de la unidad o fracción decimal adoptada, para la expresión del dato.</t>
  </si>
  <si>
    <t>2026 (P)</t>
  </si>
  <si>
    <t>Cuadro 9. SALDO DE LOS PRÉSTAMOS CONCEDIDOS POR EL SISTEMA BANCARIO NACIONAL, SEGÚN SECTOR Y ACTIVIDAD ECONÓMICA, AL FINAL DE CADA TRIMESTRE: AÑO 2025 Y PRIMER Y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</si>
</sst>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 * #,##0_ ;_ * \-#,##0_ ;_ * &quot;-&quot;_ ;_ @_ "/>
    <numFmt numFmtId="165" formatCode="_ * #,##0_ ;_ * \-#,##0_ ;_ * &quot;-&quot;??_ ;_ @_ "/>
    <numFmt numFmtId="166" formatCode="_-* #,##0_-;\-* #,##0_-;_-* &quot;-&quot;??_-;_-@_-"/>
    <numFmt numFmtId="167" formatCode="_-* #,##0.000_-;\-* #,##0.000_-;_-* &quot;-&quot;??_-;_-@_-"/>
    <numFmt numFmtId="168" formatCode="_-* #,##0.0_-;\-* #,##0.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164" fontId="3" fillId="0" borderId="2" xfId="0" applyNumberFormat="1" applyFont="1" applyBorder="1"/>
    <xf numFmtId="0" fontId="2" fillId="0" borderId="0" xfId="0" applyFont="1"/>
    <xf numFmtId="165" fontId="2" fillId="0" borderId="2" xfId="1" applyNumberFormat="1" applyFont="1" applyBorder="1"/>
    <xf numFmtId="0" fontId="2" fillId="0" borderId="0" xfId="0" applyFont="1" applyBorder="1"/>
    <xf numFmtId="164" fontId="3" fillId="0" borderId="4" xfId="0" applyNumberFormat="1" applyFont="1" applyBorder="1"/>
    <xf numFmtId="165" fontId="2" fillId="0" borderId="4" xfId="1" applyNumberFormat="1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left" indent="3"/>
    </xf>
    <xf numFmtId="0" fontId="2" fillId="0" borderId="0" xfId="0" applyFont="1" applyAlignment="1">
      <alignment horizontal="left" indent="5"/>
    </xf>
    <xf numFmtId="0" fontId="2" fillId="0" borderId="0" xfId="0" applyFont="1" applyFill="1" applyAlignment="1">
      <alignment horizontal="left" indent="7"/>
    </xf>
    <xf numFmtId="0" fontId="4" fillId="0" borderId="0" xfId="0" applyFont="1" applyAlignment="1">
      <alignment horizontal="left" indent="5"/>
    </xf>
    <xf numFmtId="0" fontId="2" fillId="0" borderId="0" xfId="0" applyFont="1" applyAlignment="1">
      <alignment horizontal="left" indent="7"/>
    </xf>
    <xf numFmtId="0" fontId="2" fillId="0" borderId="0" xfId="0" applyFont="1" applyAlignment="1">
      <alignment horizontal="left" indent="3"/>
    </xf>
    <xf numFmtId="0" fontId="2" fillId="0" borderId="0" xfId="0" applyFont="1" applyFill="1" applyAlignment="1">
      <alignment horizontal="left" indent="5"/>
    </xf>
    <xf numFmtId="0" fontId="2" fillId="0" borderId="0" xfId="0" applyFont="1" applyFill="1" applyAlignment="1">
      <alignment horizontal="left" indent="3"/>
    </xf>
    <xf numFmtId="0" fontId="2" fillId="0" borderId="1" xfId="0" applyFont="1" applyBorder="1"/>
    <xf numFmtId="165" fontId="4" fillId="0" borderId="2" xfId="1" applyNumberFormat="1" applyFont="1" applyBorder="1"/>
    <xf numFmtId="0" fontId="4" fillId="0" borderId="0" xfId="0" applyFont="1" applyFill="1" applyAlignment="1">
      <alignment horizontal="left" indent="5"/>
    </xf>
    <xf numFmtId="164" fontId="3" fillId="0" borderId="0" xfId="0" applyNumberFormat="1" applyFont="1" applyBorder="1"/>
    <xf numFmtId="0" fontId="6" fillId="2" borderId="8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4" fillId="0" borderId="1" xfId="1" applyNumberFormat="1" applyFont="1" applyBorder="1"/>
    <xf numFmtId="164" fontId="3" fillId="0" borderId="11" xfId="0" applyNumberFormat="1" applyFont="1" applyBorder="1"/>
    <xf numFmtId="165" fontId="4" fillId="0" borderId="4" xfId="1" applyNumberFormat="1" applyFont="1" applyBorder="1"/>
    <xf numFmtId="165" fontId="4" fillId="0" borderId="3" xfId="1" applyNumberFormat="1" applyFont="1" applyBorder="1"/>
    <xf numFmtId="164" fontId="3" fillId="0" borderId="12" xfId="0" applyNumberFormat="1" applyFont="1" applyBorder="1"/>
    <xf numFmtId="0" fontId="6" fillId="2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3" fontId="4" fillId="0" borderId="14" xfId="0" applyNumberFormat="1" applyFont="1" applyBorder="1"/>
    <xf numFmtId="165" fontId="4" fillId="0" borderId="16" xfId="1" applyNumberFormat="1" applyFont="1" applyBorder="1"/>
    <xf numFmtId="165" fontId="2" fillId="0" borderId="2" xfId="1" applyNumberFormat="1" applyFont="1" applyFill="1" applyBorder="1"/>
    <xf numFmtId="43" fontId="4" fillId="0" borderId="0" xfId="0" applyNumberFormat="1" applyFont="1" applyFill="1" applyBorder="1"/>
    <xf numFmtId="167" fontId="4" fillId="0" borderId="0" xfId="0" applyNumberFormat="1" applyFont="1" applyFill="1"/>
    <xf numFmtId="0" fontId="3" fillId="0" borderId="17" xfId="0" applyFont="1" applyBorder="1"/>
    <xf numFmtId="164" fontId="2" fillId="0" borderId="4" xfId="0" applyNumberFormat="1" applyFont="1" applyBorder="1"/>
    <xf numFmtId="166" fontId="4" fillId="0" borderId="4" xfId="0" applyNumberFormat="1" applyFont="1" applyFill="1" applyBorder="1"/>
    <xf numFmtId="43" fontId="4" fillId="0" borderId="0" xfId="0" applyNumberFormat="1" applyFont="1" applyFill="1"/>
    <xf numFmtId="168" fontId="4" fillId="0" borderId="0" xfId="0" applyNumberFormat="1" applyFont="1" applyFill="1"/>
    <xf numFmtId="2" fontId="4" fillId="0" borderId="0" xfId="0" applyNumberFormat="1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3">
          <cell r="A3">
            <v>5</v>
          </cell>
          <cell r="B3" t="str">
            <v>Frijol</v>
          </cell>
          <cell r="C3">
            <v>924326.62</v>
          </cell>
          <cell r="D3">
            <v>5</v>
          </cell>
        </row>
        <row r="4">
          <cell r="B4" t="str">
            <v>Sorgo</v>
          </cell>
          <cell r="C4">
            <v>28364.38</v>
          </cell>
          <cell r="D4">
            <v>3</v>
          </cell>
        </row>
        <row r="5">
          <cell r="B5" t="str">
            <v>Cultivo de arroz</v>
          </cell>
          <cell r="C5">
            <v>154586657.72</v>
          </cell>
          <cell r="D5">
            <v>1</v>
          </cell>
        </row>
        <row r="6">
          <cell r="B6" t="str">
            <v>papa</v>
          </cell>
          <cell r="C6">
            <v>11391565.51</v>
          </cell>
          <cell r="D6">
            <v>10</v>
          </cell>
        </row>
        <row r="7">
          <cell r="B7" t="str">
            <v>cebolla</v>
          </cell>
          <cell r="C7">
            <v>8322048.2999999998</v>
          </cell>
          <cell r="D7">
            <v>11</v>
          </cell>
        </row>
        <row r="8">
          <cell r="B8" t="str">
            <v>Cultivo de caña de azúcar</v>
          </cell>
          <cell r="C8">
            <v>34866629.640000001</v>
          </cell>
          <cell r="D8">
            <v>13</v>
          </cell>
        </row>
        <row r="9">
          <cell r="B9" t="str">
            <v>Cultivo de tabaco</v>
          </cell>
          <cell r="C9">
            <v>852265.43</v>
          </cell>
          <cell r="D9">
            <v>15</v>
          </cell>
        </row>
        <row r="10">
          <cell r="B10" t="str">
            <v>Cultivo de fibras</v>
          </cell>
          <cell r="C10">
            <v>40735</v>
          </cell>
          <cell r="D10">
            <v>15</v>
          </cell>
        </row>
        <row r="11">
          <cell r="B11" t="str">
            <v>Cultivo de maíz</v>
          </cell>
          <cell r="C11">
            <v>34524977.670000002</v>
          </cell>
          <cell r="D11">
            <v>2</v>
          </cell>
        </row>
        <row r="12">
          <cell r="B12" t="str">
            <v>Otros granos</v>
          </cell>
          <cell r="C12">
            <v>9227606.8499999996</v>
          </cell>
          <cell r="D12">
            <v>4</v>
          </cell>
        </row>
        <row r="13">
          <cell r="B13" t="str">
            <v>Otras leguminosas</v>
          </cell>
          <cell r="C13">
            <v>8080334.9000000004</v>
          </cell>
          <cell r="D13">
            <v>7</v>
          </cell>
        </row>
        <row r="14">
          <cell r="B14" t="str">
            <v>Cultivo de productos no perennes</v>
          </cell>
          <cell r="C14">
            <v>262845512.01999998</v>
          </cell>
        </row>
        <row r="15">
          <cell r="B15" t="str">
            <v>Cultivo de frutas tropicales y subtropicales</v>
          </cell>
          <cell r="C15">
            <v>29325097.940000001</v>
          </cell>
          <cell r="D15">
            <v>15</v>
          </cell>
        </row>
        <row r="16">
          <cell r="B16" t="str">
            <v>Cultivo de otras frutas que crecen en árboles y/o arbustos y/o nueces</v>
          </cell>
          <cell r="C16">
            <v>32894095.379999999</v>
          </cell>
          <cell r="D16">
            <v>15</v>
          </cell>
        </row>
        <row r="17">
          <cell r="B17" t="str">
            <v>Cultivo de frutas oleaginosas</v>
          </cell>
          <cell r="C17">
            <v>18914448.169999998</v>
          </cell>
          <cell r="D17">
            <v>15</v>
          </cell>
        </row>
        <row r="18">
          <cell r="B18" t="str">
            <v>café</v>
          </cell>
          <cell r="C18">
            <v>33946133.789999999</v>
          </cell>
          <cell r="D18">
            <v>8</v>
          </cell>
        </row>
        <row r="19">
          <cell r="B19" t="str">
            <v>soya</v>
          </cell>
          <cell r="C19">
            <v>1063750</v>
          </cell>
          <cell r="D19">
            <v>6</v>
          </cell>
        </row>
        <row r="20">
          <cell r="B20" t="str">
            <v>Cultivo de plantas aromáticas, medicinales y especias</v>
          </cell>
          <cell r="C20">
            <v>0</v>
          </cell>
          <cell r="D20">
            <v>15</v>
          </cell>
        </row>
        <row r="21">
          <cell r="B21" t="str">
            <v>Otros cultivos perennes</v>
          </cell>
          <cell r="C21">
            <v>21729371.850000001</v>
          </cell>
          <cell r="D21">
            <v>15</v>
          </cell>
        </row>
        <row r="22">
          <cell r="B22" t="str">
            <v>Cultivo de productos perennes</v>
          </cell>
          <cell r="C22">
            <v>137872897.13</v>
          </cell>
        </row>
        <row r="23">
          <cell r="B23" t="str">
            <v>Propagación de plantas</v>
          </cell>
          <cell r="C23">
            <v>6937135.5099999998</v>
          </cell>
          <cell r="D23">
            <v>15</v>
          </cell>
        </row>
        <row r="24">
          <cell r="B24" t="str">
            <v>Propagación de plantas</v>
          </cell>
          <cell r="C24">
            <v>6937135.5099999998</v>
          </cell>
        </row>
        <row r="25">
          <cell r="B25" t="str">
            <v>Cría de ganado vacuno y búfalos</v>
          </cell>
          <cell r="C25">
            <v>837918274.82000005</v>
          </cell>
          <cell r="D25">
            <v>17</v>
          </cell>
        </row>
        <row r="26">
          <cell r="B26" t="str">
            <v>Cría de caballos y otros equinos</v>
          </cell>
          <cell r="C26">
            <v>11227.91</v>
          </cell>
          <cell r="D26">
            <v>20</v>
          </cell>
        </row>
        <row r="27">
          <cell r="B27" t="str">
            <v>Cría de ovejas y cabras</v>
          </cell>
          <cell r="C27">
            <v>4128195.3</v>
          </cell>
          <cell r="D27">
            <v>21</v>
          </cell>
        </row>
        <row r="28">
          <cell r="B28" t="str">
            <v>Cría de cerdos / puercos</v>
          </cell>
          <cell r="C28">
            <v>77421354.140000001</v>
          </cell>
          <cell r="D28">
            <v>18</v>
          </cell>
        </row>
        <row r="29">
          <cell r="B29" t="str">
            <v>Cría de aves de corral y obtención de subproductos</v>
          </cell>
          <cell r="C29">
            <v>172700712.84</v>
          </cell>
          <cell r="D29">
            <v>19</v>
          </cell>
        </row>
        <row r="30">
          <cell r="B30" t="str">
            <v>Apicultura (creada)</v>
          </cell>
          <cell r="C30">
            <v>1008357.09</v>
          </cell>
          <cell r="D30">
            <v>23</v>
          </cell>
        </row>
        <row r="31">
          <cell r="B31" t="str">
            <v>Ganadería</v>
          </cell>
          <cell r="C31">
            <v>1093188122.0999999</v>
          </cell>
        </row>
        <row r="32">
          <cell r="B32" t="str">
            <v>arroz</v>
          </cell>
          <cell r="C32">
            <v>5963623.6399999997</v>
          </cell>
          <cell r="D32">
            <v>1</v>
          </cell>
        </row>
        <row r="33">
          <cell r="B33" t="str">
            <v>Maíz</v>
          </cell>
          <cell r="C33">
            <v>1069608.28</v>
          </cell>
          <cell r="D33">
            <v>2</v>
          </cell>
        </row>
        <row r="34">
          <cell r="B34" t="str">
            <v>otros granos</v>
          </cell>
          <cell r="C34">
            <v>2121802.88</v>
          </cell>
          <cell r="D34">
            <v>4</v>
          </cell>
        </row>
        <row r="35">
          <cell r="B35" t="str">
            <v>soya</v>
          </cell>
          <cell r="C35">
            <v>99226.1</v>
          </cell>
          <cell r="D35">
            <v>6</v>
          </cell>
        </row>
        <row r="36">
          <cell r="B36" t="str">
            <v>Frijol</v>
          </cell>
          <cell r="C36">
            <v>36000</v>
          </cell>
          <cell r="D36">
            <v>5</v>
          </cell>
        </row>
        <row r="37">
          <cell r="B37" t="str">
            <v>Otras leguminosas</v>
          </cell>
          <cell r="C37">
            <v>39141.21</v>
          </cell>
          <cell r="D37">
            <v>7</v>
          </cell>
        </row>
        <row r="38">
          <cell r="B38" t="str">
            <v>caña</v>
          </cell>
          <cell r="C38">
            <v>6918676.2599999998</v>
          </cell>
          <cell r="D38">
            <v>13</v>
          </cell>
        </row>
        <row r="39">
          <cell r="B39" t="str">
            <v>café</v>
          </cell>
          <cell r="C39">
            <v>638384.89</v>
          </cell>
          <cell r="D39">
            <v>8</v>
          </cell>
        </row>
        <row r="40">
          <cell r="B40" t="str">
            <v>papa</v>
          </cell>
          <cell r="C40">
            <v>294679.5</v>
          </cell>
          <cell r="D40">
            <v>10</v>
          </cell>
        </row>
        <row r="41">
          <cell r="B41" t="str">
            <v>cebolla</v>
          </cell>
          <cell r="C41">
            <v>140000</v>
          </cell>
          <cell r="D41">
            <v>11</v>
          </cell>
        </row>
        <row r="42">
          <cell r="B42" t="str">
            <v>tomate</v>
          </cell>
          <cell r="C42">
            <v>4528943.4400000004</v>
          </cell>
          <cell r="D42">
            <v>12</v>
          </cell>
        </row>
        <row r="43">
          <cell r="B43" t="str">
            <v>banano</v>
          </cell>
          <cell r="C43">
            <v>420000</v>
          </cell>
          <cell r="D43">
            <v>9</v>
          </cell>
        </row>
        <row r="44">
          <cell r="B44" t="str">
            <v>otros cultivos</v>
          </cell>
          <cell r="C44">
            <v>46424468.920000002</v>
          </cell>
          <cell r="D44">
            <v>15</v>
          </cell>
        </row>
        <row r="45">
          <cell r="B45" t="str">
            <v>bovino</v>
          </cell>
          <cell r="C45">
            <v>145861604.59</v>
          </cell>
          <cell r="D45">
            <v>17</v>
          </cell>
        </row>
        <row r="46">
          <cell r="B46" t="str">
            <v>porcino</v>
          </cell>
          <cell r="C46">
            <v>7143516.7400000002</v>
          </cell>
          <cell r="D46">
            <v>18</v>
          </cell>
        </row>
        <row r="47">
          <cell r="B47" t="str">
            <v>avicultura</v>
          </cell>
          <cell r="C47">
            <v>40051841.620000005</v>
          </cell>
          <cell r="D47">
            <v>19</v>
          </cell>
        </row>
        <row r="48">
          <cell r="B48" t="str">
            <v>caballar</v>
          </cell>
          <cell r="C48">
            <v>0</v>
          </cell>
        </row>
        <row r="49">
          <cell r="B49" t="str">
            <v>apicultura</v>
          </cell>
          <cell r="C49">
            <v>356189.98</v>
          </cell>
          <cell r="D49">
            <v>23</v>
          </cell>
        </row>
        <row r="50">
          <cell r="B50" t="str">
            <v>otros animales</v>
          </cell>
          <cell r="C50">
            <v>14855167.830000002</v>
          </cell>
          <cell r="D50">
            <v>21</v>
          </cell>
        </row>
        <row r="51">
          <cell r="B51" t="str">
            <v>pesca</v>
          </cell>
          <cell r="C51">
            <v>23602145.07</v>
          </cell>
          <cell r="D51">
            <v>24</v>
          </cell>
        </row>
        <row r="52">
          <cell r="B52" t="str">
            <v>acuicultura</v>
          </cell>
          <cell r="C52">
            <v>31982996.129999999</v>
          </cell>
          <cell r="D52">
            <v>25</v>
          </cell>
        </row>
        <row r="53">
          <cell r="B53" t="str">
            <v>Explotación mixta</v>
          </cell>
          <cell r="C53">
            <v>332548017.07999998</v>
          </cell>
        </row>
        <row r="54">
          <cell r="B54" t="str">
            <v>Actividades de apoyo a los cultivos y posteriores a la cosecha</v>
          </cell>
          <cell r="C54">
            <v>14374004.930000002</v>
          </cell>
          <cell r="D54">
            <v>15</v>
          </cell>
        </row>
        <row r="55">
          <cell r="B55" t="str">
            <v>Actividades de apoyo a la ganadería</v>
          </cell>
          <cell r="C55">
            <v>23582436.439999998</v>
          </cell>
          <cell r="D55">
            <v>17</v>
          </cell>
        </row>
        <row r="56">
          <cell r="B56" t="str">
            <v>Procesamiento de semillas para la propagación</v>
          </cell>
          <cell r="C56">
            <v>0</v>
          </cell>
          <cell r="D56">
            <v>15</v>
          </cell>
        </row>
        <row r="57">
          <cell r="B57" t="str">
            <v>Actividades de apoyo a la agricultura, ganadería y actividades posteriores a la cosecha</v>
          </cell>
          <cell r="C57">
            <v>37956441.369999997</v>
          </cell>
        </row>
        <row r="58">
          <cell r="B58" t="str">
            <v>Silvicultura y otras actividades relacionadas a la silvicultura</v>
          </cell>
          <cell r="C58">
            <v>1819311.91</v>
          </cell>
          <cell r="D58">
            <v>16</v>
          </cell>
        </row>
        <row r="59">
          <cell r="B59" t="str">
            <v>Silvicultura y otras actividades relacionadas a la silvicultura</v>
          </cell>
          <cell r="C59">
            <v>1819311.91</v>
          </cell>
        </row>
        <row r="60">
          <cell r="B60" t="str">
            <v>Extracción de madera</v>
          </cell>
          <cell r="C60">
            <v>692511.81</v>
          </cell>
          <cell r="D60">
            <v>14</v>
          </cell>
        </row>
        <row r="61">
          <cell r="B61" t="str">
            <v>Extracción de madera</v>
          </cell>
          <cell r="C61">
            <v>692511.81</v>
          </cell>
        </row>
        <row r="62">
          <cell r="B62" t="str">
            <v>Recolección de productos forestales diferentes a la madera</v>
          </cell>
          <cell r="C62">
            <v>197705.41</v>
          </cell>
          <cell r="D62">
            <v>14</v>
          </cell>
        </row>
        <row r="63">
          <cell r="B63" t="str">
            <v>Recolección de productos forestales diferentes a la madera</v>
          </cell>
          <cell r="C63">
            <v>197705.41</v>
          </cell>
        </row>
        <row r="64">
          <cell r="B64" t="str">
            <v>Servicios de apoyo a la silvicultura</v>
          </cell>
          <cell r="C64">
            <v>974.04</v>
          </cell>
          <cell r="D64">
            <v>16</v>
          </cell>
        </row>
        <row r="65">
          <cell r="B65" t="str">
            <v>Servicios de apoyo a la silvicultura</v>
          </cell>
          <cell r="C65">
            <v>974.04</v>
          </cell>
        </row>
        <row r="66">
          <cell r="B66" t="str">
            <v>Pesca marítima oceánicas o costeras</v>
          </cell>
          <cell r="C66">
            <v>33906223.359999999</v>
          </cell>
          <cell r="D66">
            <v>24</v>
          </cell>
        </row>
        <row r="67">
          <cell r="B67" t="str">
            <v>Pesca de aguas dulce</v>
          </cell>
          <cell r="C67">
            <v>1163.3</v>
          </cell>
          <cell r="D67">
            <v>24</v>
          </cell>
        </row>
        <row r="68">
          <cell r="B68" t="str">
            <v>Pesca</v>
          </cell>
          <cell r="C68">
            <v>33907386.660000004</v>
          </cell>
        </row>
        <row r="69">
          <cell r="B69" t="str">
            <v>Acuicultura marítima</v>
          </cell>
          <cell r="C69">
            <v>20427395.190000001</v>
          </cell>
          <cell r="D69">
            <v>25</v>
          </cell>
        </row>
        <row r="70">
          <cell r="B70" t="str">
            <v>Acuicultura de agua dulce</v>
          </cell>
          <cell r="C70">
            <v>16950909.440000001</v>
          </cell>
          <cell r="D70">
            <v>25</v>
          </cell>
        </row>
        <row r="71">
          <cell r="B71" t="str">
            <v>Acuicultura</v>
          </cell>
          <cell r="C71">
            <v>37378304.629999995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showGridLines="0" tabSelected="1" topLeftCell="C1" zoomScaleNormal="100" workbookViewId="0">
      <selection activeCell="C4" sqref="C4:I4"/>
    </sheetView>
  </sheetViews>
  <sheetFormatPr baseColWidth="10" defaultRowHeight="12.75" x14ac:dyDescent="0.2"/>
  <cols>
    <col min="1" max="1" width="3.5703125" style="7" hidden="1" customWidth="1"/>
    <col min="2" max="2" width="3.7109375" style="7" hidden="1" customWidth="1"/>
    <col min="3" max="3" width="35.7109375" style="7" customWidth="1"/>
    <col min="4" max="9" width="14.7109375" style="7" customWidth="1"/>
    <col min="10" max="10" width="11.42578125" style="7"/>
    <col min="11" max="11" width="12.28515625" style="7" bestFit="1" customWidth="1"/>
    <col min="12" max="241" width="11.42578125" style="7"/>
    <col min="242" max="242" width="42.7109375" style="7" customWidth="1"/>
    <col min="243" max="249" width="13.140625" style="7" customWidth="1"/>
    <col min="250" max="497" width="11.42578125" style="7"/>
    <col min="498" max="498" width="42.7109375" style="7" customWidth="1"/>
    <col min="499" max="505" width="13.140625" style="7" customWidth="1"/>
    <col min="506" max="753" width="11.42578125" style="7"/>
    <col min="754" max="754" width="42.7109375" style="7" customWidth="1"/>
    <col min="755" max="761" width="13.140625" style="7" customWidth="1"/>
    <col min="762" max="1009" width="11.42578125" style="7"/>
    <col min="1010" max="1010" width="42.7109375" style="7" customWidth="1"/>
    <col min="1011" max="1017" width="13.140625" style="7" customWidth="1"/>
    <col min="1018" max="1265" width="11.42578125" style="7"/>
    <col min="1266" max="1266" width="42.7109375" style="7" customWidth="1"/>
    <col min="1267" max="1273" width="13.140625" style="7" customWidth="1"/>
    <col min="1274" max="1521" width="11.42578125" style="7"/>
    <col min="1522" max="1522" width="42.7109375" style="7" customWidth="1"/>
    <col min="1523" max="1529" width="13.140625" style="7" customWidth="1"/>
    <col min="1530" max="1777" width="11.42578125" style="7"/>
    <col min="1778" max="1778" width="42.7109375" style="7" customWidth="1"/>
    <col min="1779" max="1785" width="13.140625" style="7" customWidth="1"/>
    <col min="1786" max="2033" width="11.42578125" style="7"/>
    <col min="2034" max="2034" width="42.7109375" style="7" customWidth="1"/>
    <col min="2035" max="2041" width="13.140625" style="7" customWidth="1"/>
    <col min="2042" max="2289" width="11.42578125" style="7"/>
    <col min="2290" max="2290" width="42.7109375" style="7" customWidth="1"/>
    <col min="2291" max="2297" width="13.140625" style="7" customWidth="1"/>
    <col min="2298" max="2545" width="11.42578125" style="7"/>
    <col min="2546" max="2546" width="42.7109375" style="7" customWidth="1"/>
    <col min="2547" max="2553" width="13.140625" style="7" customWidth="1"/>
    <col min="2554" max="2801" width="11.42578125" style="7"/>
    <col min="2802" max="2802" width="42.7109375" style="7" customWidth="1"/>
    <col min="2803" max="2809" width="13.140625" style="7" customWidth="1"/>
    <col min="2810" max="3057" width="11.42578125" style="7"/>
    <col min="3058" max="3058" width="42.7109375" style="7" customWidth="1"/>
    <col min="3059" max="3065" width="13.140625" style="7" customWidth="1"/>
    <col min="3066" max="3313" width="11.42578125" style="7"/>
    <col min="3314" max="3314" width="42.7109375" style="7" customWidth="1"/>
    <col min="3315" max="3321" width="13.140625" style="7" customWidth="1"/>
    <col min="3322" max="3569" width="11.42578125" style="7"/>
    <col min="3570" max="3570" width="42.7109375" style="7" customWidth="1"/>
    <col min="3571" max="3577" width="13.140625" style="7" customWidth="1"/>
    <col min="3578" max="3825" width="11.42578125" style="7"/>
    <col min="3826" max="3826" width="42.7109375" style="7" customWidth="1"/>
    <col min="3827" max="3833" width="13.140625" style="7" customWidth="1"/>
    <col min="3834" max="4081" width="11.42578125" style="7"/>
    <col min="4082" max="4082" width="42.7109375" style="7" customWidth="1"/>
    <col min="4083" max="4089" width="13.140625" style="7" customWidth="1"/>
    <col min="4090" max="4337" width="11.42578125" style="7"/>
    <col min="4338" max="4338" width="42.7109375" style="7" customWidth="1"/>
    <col min="4339" max="4345" width="13.140625" style="7" customWidth="1"/>
    <col min="4346" max="4593" width="11.42578125" style="7"/>
    <col min="4594" max="4594" width="42.7109375" style="7" customWidth="1"/>
    <col min="4595" max="4601" width="13.140625" style="7" customWidth="1"/>
    <col min="4602" max="4849" width="11.42578125" style="7"/>
    <col min="4850" max="4850" width="42.7109375" style="7" customWidth="1"/>
    <col min="4851" max="4857" width="13.140625" style="7" customWidth="1"/>
    <col min="4858" max="5105" width="11.42578125" style="7"/>
    <col min="5106" max="5106" width="42.7109375" style="7" customWidth="1"/>
    <col min="5107" max="5113" width="13.140625" style="7" customWidth="1"/>
    <col min="5114" max="5361" width="11.42578125" style="7"/>
    <col min="5362" max="5362" width="42.7109375" style="7" customWidth="1"/>
    <col min="5363" max="5369" width="13.140625" style="7" customWidth="1"/>
    <col min="5370" max="5617" width="11.42578125" style="7"/>
    <col min="5618" max="5618" width="42.7109375" style="7" customWidth="1"/>
    <col min="5619" max="5625" width="13.140625" style="7" customWidth="1"/>
    <col min="5626" max="5873" width="11.42578125" style="7"/>
    <col min="5874" max="5874" width="42.7109375" style="7" customWidth="1"/>
    <col min="5875" max="5881" width="13.140625" style="7" customWidth="1"/>
    <col min="5882" max="6129" width="11.42578125" style="7"/>
    <col min="6130" max="6130" width="42.7109375" style="7" customWidth="1"/>
    <col min="6131" max="6137" width="13.140625" style="7" customWidth="1"/>
    <col min="6138" max="6385" width="11.42578125" style="7"/>
    <col min="6386" max="6386" width="42.7109375" style="7" customWidth="1"/>
    <col min="6387" max="6393" width="13.140625" style="7" customWidth="1"/>
    <col min="6394" max="6641" width="11.42578125" style="7"/>
    <col min="6642" max="6642" width="42.7109375" style="7" customWidth="1"/>
    <col min="6643" max="6649" width="13.140625" style="7" customWidth="1"/>
    <col min="6650" max="6897" width="11.42578125" style="7"/>
    <col min="6898" max="6898" width="42.7109375" style="7" customWidth="1"/>
    <col min="6899" max="6905" width="13.140625" style="7" customWidth="1"/>
    <col min="6906" max="7153" width="11.42578125" style="7"/>
    <col min="7154" max="7154" width="42.7109375" style="7" customWidth="1"/>
    <col min="7155" max="7161" width="13.140625" style="7" customWidth="1"/>
    <col min="7162" max="7409" width="11.42578125" style="7"/>
    <col min="7410" max="7410" width="42.7109375" style="7" customWidth="1"/>
    <col min="7411" max="7417" width="13.140625" style="7" customWidth="1"/>
    <col min="7418" max="7665" width="11.42578125" style="7"/>
    <col min="7666" max="7666" width="42.7109375" style="7" customWidth="1"/>
    <col min="7667" max="7673" width="13.140625" style="7" customWidth="1"/>
    <col min="7674" max="7921" width="11.42578125" style="7"/>
    <col min="7922" max="7922" width="42.7109375" style="7" customWidth="1"/>
    <col min="7923" max="7929" width="13.140625" style="7" customWidth="1"/>
    <col min="7930" max="8177" width="11.42578125" style="7"/>
    <col min="8178" max="8178" width="42.7109375" style="7" customWidth="1"/>
    <col min="8179" max="8185" width="13.140625" style="7" customWidth="1"/>
    <col min="8186" max="8433" width="11.42578125" style="7"/>
    <col min="8434" max="8434" width="42.7109375" style="7" customWidth="1"/>
    <col min="8435" max="8441" width="13.140625" style="7" customWidth="1"/>
    <col min="8442" max="8689" width="11.42578125" style="7"/>
    <col min="8690" max="8690" width="42.7109375" style="7" customWidth="1"/>
    <col min="8691" max="8697" width="13.140625" style="7" customWidth="1"/>
    <col min="8698" max="8945" width="11.42578125" style="7"/>
    <col min="8946" max="8946" width="42.7109375" style="7" customWidth="1"/>
    <col min="8947" max="8953" width="13.140625" style="7" customWidth="1"/>
    <col min="8954" max="9201" width="11.42578125" style="7"/>
    <col min="9202" max="9202" width="42.7109375" style="7" customWidth="1"/>
    <col min="9203" max="9209" width="13.140625" style="7" customWidth="1"/>
    <col min="9210" max="9457" width="11.42578125" style="7"/>
    <col min="9458" max="9458" width="42.7109375" style="7" customWidth="1"/>
    <col min="9459" max="9465" width="13.140625" style="7" customWidth="1"/>
    <col min="9466" max="9713" width="11.42578125" style="7"/>
    <col min="9714" max="9714" width="42.7109375" style="7" customWidth="1"/>
    <col min="9715" max="9721" width="13.140625" style="7" customWidth="1"/>
    <col min="9722" max="9969" width="11.42578125" style="7"/>
    <col min="9970" max="9970" width="42.7109375" style="7" customWidth="1"/>
    <col min="9971" max="9977" width="13.140625" style="7" customWidth="1"/>
    <col min="9978" max="10225" width="11.42578125" style="7"/>
    <col min="10226" max="10226" width="42.7109375" style="7" customWidth="1"/>
    <col min="10227" max="10233" width="13.140625" style="7" customWidth="1"/>
    <col min="10234" max="10481" width="11.42578125" style="7"/>
    <col min="10482" max="10482" width="42.7109375" style="7" customWidth="1"/>
    <col min="10483" max="10489" width="13.140625" style="7" customWidth="1"/>
    <col min="10490" max="10737" width="11.42578125" style="7"/>
    <col min="10738" max="10738" width="42.7109375" style="7" customWidth="1"/>
    <col min="10739" max="10745" width="13.140625" style="7" customWidth="1"/>
    <col min="10746" max="10993" width="11.42578125" style="7"/>
    <col min="10994" max="10994" width="42.7109375" style="7" customWidth="1"/>
    <col min="10995" max="11001" width="13.140625" style="7" customWidth="1"/>
    <col min="11002" max="11249" width="11.42578125" style="7"/>
    <col min="11250" max="11250" width="42.7109375" style="7" customWidth="1"/>
    <col min="11251" max="11257" width="13.140625" style="7" customWidth="1"/>
    <col min="11258" max="11505" width="11.42578125" style="7"/>
    <col min="11506" max="11506" width="42.7109375" style="7" customWidth="1"/>
    <col min="11507" max="11513" width="13.140625" style="7" customWidth="1"/>
    <col min="11514" max="11761" width="11.42578125" style="7"/>
    <col min="11762" max="11762" width="42.7109375" style="7" customWidth="1"/>
    <col min="11763" max="11769" width="13.140625" style="7" customWidth="1"/>
    <col min="11770" max="12017" width="11.42578125" style="7"/>
    <col min="12018" max="12018" width="42.7109375" style="7" customWidth="1"/>
    <col min="12019" max="12025" width="13.140625" style="7" customWidth="1"/>
    <col min="12026" max="12273" width="11.42578125" style="7"/>
    <col min="12274" max="12274" width="42.7109375" style="7" customWidth="1"/>
    <col min="12275" max="12281" width="13.140625" style="7" customWidth="1"/>
    <col min="12282" max="12529" width="11.42578125" style="7"/>
    <col min="12530" max="12530" width="42.7109375" style="7" customWidth="1"/>
    <col min="12531" max="12537" width="13.140625" style="7" customWidth="1"/>
    <col min="12538" max="12785" width="11.42578125" style="7"/>
    <col min="12786" max="12786" width="42.7109375" style="7" customWidth="1"/>
    <col min="12787" max="12793" width="13.140625" style="7" customWidth="1"/>
    <col min="12794" max="13041" width="11.42578125" style="7"/>
    <col min="13042" max="13042" width="42.7109375" style="7" customWidth="1"/>
    <col min="13043" max="13049" width="13.140625" style="7" customWidth="1"/>
    <col min="13050" max="13297" width="11.42578125" style="7"/>
    <col min="13298" max="13298" width="42.7109375" style="7" customWidth="1"/>
    <col min="13299" max="13305" width="13.140625" style="7" customWidth="1"/>
    <col min="13306" max="13553" width="11.42578125" style="7"/>
    <col min="13554" max="13554" width="42.7109375" style="7" customWidth="1"/>
    <col min="13555" max="13561" width="13.140625" style="7" customWidth="1"/>
    <col min="13562" max="13809" width="11.42578125" style="7"/>
    <col min="13810" max="13810" width="42.7109375" style="7" customWidth="1"/>
    <col min="13811" max="13817" width="13.140625" style="7" customWidth="1"/>
    <col min="13818" max="14065" width="11.42578125" style="7"/>
    <col min="14066" max="14066" width="42.7109375" style="7" customWidth="1"/>
    <col min="14067" max="14073" width="13.140625" style="7" customWidth="1"/>
    <col min="14074" max="14321" width="11.42578125" style="7"/>
    <col min="14322" max="14322" width="42.7109375" style="7" customWidth="1"/>
    <col min="14323" max="14329" width="13.140625" style="7" customWidth="1"/>
    <col min="14330" max="14577" width="11.42578125" style="7"/>
    <col min="14578" max="14578" width="42.7109375" style="7" customWidth="1"/>
    <col min="14579" max="14585" width="13.140625" style="7" customWidth="1"/>
    <col min="14586" max="14833" width="11.42578125" style="7"/>
    <col min="14834" max="14834" width="42.7109375" style="7" customWidth="1"/>
    <col min="14835" max="14841" width="13.140625" style="7" customWidth="1"/>
    <col min="14842" max="15089" width="11.42578125" style="7"/>
    <col min="15090" max="15090" width="42.7109375" style="7" customWidth="1"/>
    <col min="15091" max="15097" width="13.140625" style="7" customWidth="1"/>
    <col min="15098" max="15345" width="11.42578125" style="7"/>
    <col min="15346" max="15346" width="42.7109375" style="7" customWidth="1"/>
    <col min="15347" max="15353" width="13.140625" style="7" customWidth="1"/>
    <col min="15354" max="15601" width="11.42578125" style="7"/>
    <col min="15602" max="15602" width="42.7109375" style="7" customWidth="1"/>
    <col min="15603" max="15609" width="13.140625" style="7" customWidth="1"/>
    <col min="15610" max="15857" width="11.42578125" style="7"/>
    <col min="15858" max="15858" width="42.7109375" style="7" customWidth="1"/>
    <col min="15859" max="15865" width="13.140625" style="7" customWidth="1"/>
    <col min="15866" max="16113" width="11.42578125" style="7"/>
    <col min="16114" max="16114" width="42.7109375" style="7" customWidth="1"/>
    <col min="16115" max="16121" width="13.140625" style="7" customWidth="1"/>
    <col min="16122" max="16384" width="11.42578125" style="7"/>
  </cols>
  <sheetData>
    <row r="1" spans="1:13" x14ac:dyDescent="0.2">
      <c r="C1" s="41" t="s">
        <v>0</v>
      </c>
      <c r="D1" s="41"/>
      <c r="E1" s="41"/>
      <c r="F1" s="41"/>
      <c r="G1" s="41"/>
      <c r="H1" s="41"/>
      <c r="I1" s="41"/>
    </row>
    <row r="2" spans="1:13" ht="14.25" customHeight="1" x14ac:dyDescent="0.2">
      <c r="C2" s="42" t="s">
        <v>1</v>
      </c>
      <c r="D2" s="42"/>
      <c r="E2" s="42"/>
      <c r="F2" s="42"/>
      <c r="G2" s="42"/>
      <c r="H2" s="42"/>
      <c r="I2" s="42"/>
    </row>
    <row r="3" spans="1:13" ht="15" customHeight="1" x14ac:dyDescent="0.2">
      <c r="C3" s="41" t="s">
        <v>2</v>
      </c>
      <c r="D3" s="41"/>
      <c r="E3" s="41"/>
      <c r="F3" s="41"/>
      <c r="G3" s="41"/>
      <c r="H3" s="41"/>
      <c r="I3" s="41"/>
    </row>
    <row r="4" spans="1:13" ht="45.75" customHeight="1" x14ac:dyDescent="0.2">
      <c r="C4" s="49" t="s">
        <v>103</v>
      </c>
      <c r="D4" s="49"/>
      <c r="E4" s="49"/>
      <c r="F4" s="49"/>
      <c r="G4" s="49"/>
      <c r="H4" s="49"/>
      <c r="I4" s="49"/>
    </row>
    <row r="5" spans="1:13" ht="30" customHeight="1" x14ac:dyDescent="0.2">
      <c r="C5" s="43" t="s">
        <v>3</v>
      </c>
      <c r="D5" s="46" t="s">
        <v>99</v>
      </c>
      <c r="E5" s="47"/>
      <c r="F5" s="47"/>
      <c r="G5" s="47"/>
      <c r="H5" s="47"/>
      <c r="I5" s="48"/>
      <c r="J5" s="29"/>
    </row>
    <row r="6" spans="1:13" ht="16.5" customHeight="1" x14ac:dyDescent="0.2">
      <c r="C6" s="44"/>
      <c r="D6" s="46">
        <v>2025</v>
      </c>
      <c r="E6" s="47"/>
      <c r="F6" s="47"/>
      <c r="G6" s="48"/>
      <c r="H6" s="50" t="s">
        <v>102</v>
      </c>
      <c r="I6" s="45"/>
      <c r="J6" s="30"/>
      <c r="K6" s="20"/>
    </row>
    <row r="7" spans="1:13" ht="16.5" customHeight="1" x14ac:dyDescent="0.2">
      <c r="C7" s="45"/>
      <c r="D7" s="21" t="s">
        <v>4</v>
      </c>
      <c r="E7" s="21" t="s">
        <v>5</v>
      </c>
      <c r="F7" s="21" t="s">
        <v>6</v>
      </c>
      <c r="G7" s="21" t="s">
        <v>7</v>
      </c>
      <c r="H7" s="21" t="s">
        <v>4</v>
      </c>
      <c r="I7" s="28" t="s">
        <v>5</v>
      </c>
      <c r="J7" s="29"/>
    </row>
    <row r="8" spans="1:13" ht="21" customHeight="1" x14ac:dyDescent="0.2">
      <c r="C8" s="35" t="s">
        <v>8</v>
      </c>
      <c r="D8" s="24">
        <f t="shared" ref="D8" si="0">D9+D95</f>
        <v>90447.639961730019</v>
      </c>
      <c r="E8" s="24">
        <f t="shared" ref="E8:H8" si="1">E9+E95</f>
        <v>92096.006670959992</v>
      </c>
      <c r="F8" s="24">
        <f t="shared" si="1"/>
        <v>92142.232016309994</v>
      </c>
      <c r="G8" s="24">
        <f t="shared" si="1"/>
        <v>92098.053191669998</v>
      </c>
      <c r="H8" s="27">
        <f t="shared" si="1"/>
        <v>92603.48739332</v>
      </c>
      <c r="I8" s="27">
        <f t="shared" ref="I8" si="2">I9+I95</f>
        <v>94124.451991470007</v>
      </c>
      <c r="J8" s="33"/>
      <c r="K8" s="39"/>
      <c r="L8" s="22"/>
      <c r="M8" s="22"/>
    </row>
    <row r="9" spans="1:13" ht="15" customHeight="1" x14ac:dyDescent="0.2">
      <c r="C9" s="2" t="s">
        <v>9</v>
      </c>
      <c r="D9" s="5">
        <f t="shared" ref="D9" si="3">D10+D30+D38+D41+D45+D50+D63+D70+D71+D76+D79+D83+D94+D90</f>
        <v>64249.861374180015</v>
      </c>
      <c r="E9" s="5">
        <f t="shared" ref="E9:H9" si="4">E10+E30+E38+E41+E45+E50+E63+E70+E71+E76+E79+E83+E94+E90</f>
        <v>64773.589949459994</v>
      </c>
      <c r="F9" s="1">
        <f t="shared" si="4"/>
        <v>64609.432618229992</v>
      </c>
      <c r="G9" s="1">
        <f t="shared" si="4"/>
        <v>64198.96095932</v>
      </c>
      <c r="H9" s="1">
        <f t="shared" si="4"/>
        <v>64257.869601600003</v>
      </c>
      <c r="I9" s="1">
        <f t="shared" ref="I9" si="5">I10+I30+I38+I41+I45+I50+I63+I70+I71+I76+I79+I83+I94+I90</f>
        <v>65592.730159750005</v>
      </c>
      <c r="J9" s="33"/>
      <c r="K9" s="39"/>
      <c r="L9" s="22"/>
      <c r="M9" s="22"/>
    </row>
    <row r="10" spans="1:13" ht="14.1" customHeight="1" x14ac:dyDescent="0.2">
      <c r="C10" s="9" t="s">
        <v>14</v>
      </c>
      <c r="D10" s="5">
        <f t="shared" ref="D10" si="6">D11+D16+D20+D29</f>
        <v>593.38767061999988</v>
      </c>
      <c r="E10" s="5">
        <f t="shared" ref="E10:H10" si="7">E11+E16+E20+E29</f>
        <v>602.04979721000007</v>
      </c>
      <c r="F10" s="1">
        <f t="shared" si="7"/>
        <v>590.92715946999999</v>
      </c>
      <c r="G10" s="1">
        <f t="shared" si="7"/>
        <v>593.00992775999998</v>
      </c>
      <c r="H10" s="1">
        <f t="shared" si="7"/>
        <v>587.06631678999997</v>
      </c>
      <c r="I10" s="1">
        <f t="shared" ref="I10" si="8">I11+I16+I20+I29</f>
        <v>568.18699242000002</v>
      </c>
      <c r="J10" s="33"/>
      <c r="K10" s="39"/>
      <c r="L10" s="22"/>
      <c r="M10" s="22"/>
    </row>
    <row r="11" spans="1:13" ht="14.1" customHeight="1" x14ac:dyDescent="0.2">
      <c r="A11" s="7">
        <v>1</v>
      </c>
      <c r="C11" s="10" t="s">
        <v>17</v>
      </c>
      <c r="D11" s="5">
        <f t="shared" ref="D11" si="9">SUM(D12:D15)</f>
        <v>204.22390440999999</v>
      </c>
      <c r="E11" s="5">
        <f t="shared" ref="E11:G11" si="10">SUM(E12:E15)</f>
        <v>217.28983096000002</v>
      </c>
      <c r="F11" s="1">
        <f t="shared" si="10"/>
        <v>213.25516762999996</v>
      </c>
      <c r="G11" s="1">
        <f t="shared" si="10"/>
        <v>214.49575898000001</v>
      </c>
      <c r="H11" s="1">
        <f t="shared" ref="H11" si="11">SUM(H12:H15)</f>
        <v>213.28298307</v>
      </c>
      <c r="I11" s="1">
        <f t="shared" ref="I11" si="12">SUM(I12:I15)</f>
        <v>219.11536561999998</v>
      </c>
      <c r="J11" s="33"/>
      <c r="K11" s="39"/>
      <c r="L11" s="22"/>
      <c r="M11" s="22"/>
    </row>
    <row r="12" spans="1:13" ht="12.75" customHeight="1" x14ac:dyDescent="0.25">
      <c r="B12">
        <f>VLOOKUP(C12,[1]Hoja1!B$3:D$71,3,0)</f>
        <v>1</v>
      </c>
      <c r="C12" s="11" t="s">
        <v>83</v>
      </c>
      <c r="D12" s="6">
        <v>165.92756322999998</v>
      </c>
      <c r="E12" s="6">
        <v>170.64431246999999</v>
      </c>
      <c r="F12" s="3">
        <v>165.19599478999999</v>
      </c>
      <c r="G12" s="3">
        <v>161.45909384000001</v>
      </c>
      <c r="H12" s="3">
        <v>164.01790890999999</v>
      </c>
      <c r="I12" s="3">
        <f>162923315.51/1000000</f>
        <v>162.92331550999998</v>
      </c>
      <c r="J12" s="33"/>
      <c r="K12" s="39"/>
      <c r="L12" s="22"/>
      <c r="M12" s="22"/>
    </row>
    <row r="13" spans="1:13" ht="12.75" customHeight="1" x14ac:dyDescent="0.25">
      <c r="B13">
        <f>VLOOKUP(C13,[1]Hoja1!B$3:D$71,3,0)</f>
        <v>2</v>
      </c>
      <c r="C13" s="11" t="s">
        <v>84</v>
      </c>
      <c r="D13" s="6">
        <v>29.13340153</v>
      </c>
      <c r="E13" s="6">
        <v>37.356116380000003</v>
      </c>
      <c r="F13" s="3">
        <v>39.087875560000001</v>
      </c>
      <c r="G13" s="3">
        <v>44.574144759999996</v>
      </c>
      <c r="H13" s="3">
        <v>40.431991759999995</v>
      </c>
      <c r="I13" s="3">
        <f>46387896.53/1000000</f>
        <v>46.387896529999999</v>
      </c>
      <c r="J13" s="33"/>
      <c r="K13" s="39"/>
      <c r="L13" s="22"/>
      <c r="M13" s="22"/>
    </row>
    <row r="14" spans="1:13" ht="12.75" customHeight="1" x14ac:dyDescent="0.25">
      <c r="B14">
        <f>VLOOKUP(C14,[1]Hoja1!B$3:D$71,3,0)</f>
        <v>3</v>
      </c>
      <c r="C14" s="11" t="s">
        <v>85</v>
      </c>
      <c r="D14" s="6">
        <v>2.719533E-2</v>
      </c>
      <c r="E14" s="6">
        <v>0.24422590999999999</v>
      </c>
      <c r="F14" s="3">
        <v>0.21645033999999999</v>
      </c>
      <c r="G14" s="3">
        <v>0.20494369000000001</v>
      </c>
      <c r="H14" s="3">
        <v>0.17998667999999998</v>
      </c>
      <c r="I14" s="3">
        <f>119517.06/1000000</f>
        <v>0.11951705999999999</v>
      </c>
      <c r="J14" s="33"/>
      <c r="K14" s="39"/>
      <c r="L14" s="22"/>
      <c r="M14" s="22"/>
    </row>
    <row r="15" spans="1:13" ht="12.75" customHeight="1" x14ac:dyDescent="0.25">
      <c r="B15">
        <f>VLOOKUP(C15,[1]Hoja1!B$3:D$71,3,0)</f>
        <v>4</v>
      </c>
      <c r="C15" s="11" t="s">
        <v>86</v>
      </c>
      <c r="D15" s="6">
        <v>9.1357443200000006</v>
      </c>
      <c r="E15" s="6">
        <v>9.0451762000000002</v>
      </c>
      <c r="F15" s="3">
        <v>8.7548469400000002</v>
      </c>
      <c r="G15" s="3">
        <v>8.2575766900000005</v>
      </c>
      <c r="H15" s="3">
        <v>8.6530957200000014</v>
      </c>
      <c r="I15" s="3">
        <f>9684636.52/1000000</f>
        <v>9.6846365199999997</v>
      </c>
      <c r="J15" s="33"/>
      <c r="K15" s="39"/>
      <c r="L15" s="22"/>
      <c r="M15" s="22"/>
    </row>
    <row r="16" spans="1:13" ht="14.1" customHeight="1" x14ac:dyDescent="0.2">
      <c r="A16" s="7">
        <v>1</v>
      </c>
      <c r="C16" s="12" t="s">
        <v>15</v>
      </c>
      <c r="D16" s="5">
        <f t="shared" ref="D16" si="13">SUM(D17:D19)</f>
        <v>24.73189799</v>
      </c>
      <c r="E16" s="5">
        <f t="shared" ref="E16:H16" si="14">SUM(E17:E19)</f>
        <v>24.002415540000001</v>
      </c>
      <c r="F16" s="1">
        <f t="shared" si="14"/>
        <v>25.40447245</v>
      </c>
      <c r="G16" s="1">
        <f t="shared" si="14"/>
        <v>25.405305510000002</v>
      </c>
      <c r="H16" s="1">
        <f t="shared" si="14"/>
        <v>25.319845130000001</v>
      </c>
      <c r="I16" s="1">
        <f t="shared" ref="I16" si="15">SUM(I17:I19)</f>
        <v>43.758510710000003</v>
      </c>
      <c r="J16" s="33"/>
      <c r="K16" s="39"/>
      <c r="L16" s="22"/>
      <c r="M16" s="22"/>
    </row>
    <row r="17" spans="1:13" ht="12.75" customHeight="1" x14ac:dyDescent="0.25">
      <c r="B17">
        <f>VLOOKUP(C17,[1]Hoja1!B$3:D$71,3,0)</f>
        <v>5</v>
      </c>
      <c r="C17" s="13" t="s">
        <v>18</v>
      </c>
      <c r="D17" s="6">
        <v>0.32929743</v>
      </c>
      <c r="E17" s="6">
        <v>0.26256236999999999</v>
      </c>
      <c r="F17" s="3">
        <v>0.45900447</v>
      </c>
      <c r="G17" s="3">
        <v>0.36702378000000002</v>
      </c>
      <c r="H17" s="3">
        <v>0.37724378999999997</v>
      </c>
      <c r="I17" s="3">
        <f>332137.91/1000000</f>
        <v>0.33213790999999998</v>
      </c>
      <c r="J17" s="33"/>
      <c r="K17" s="39"/>
      <c r="L17" s="22"/>
      <c r="M17" s="22"/>
    </row>
    <row r="18" spans="1:13" ht="12.75" customHeight="1" x14ac:dyDescent="0.25">
      <c r="B18">
        <f>VLOOKUP(C18,[1]Hoja1!B$3:D$71,3,0)</f>
        <v>6</v>
      </c>
      <c r="C18" s="13" t="s">
        <v>96</v>
      </c>
      <c r="D18" s="6">
        <v>0.67039456000000008</v>
      </c>
      <c r="E18" s="6">
        <v>0.13911027000000001</v>
      </c>
      <c r="F18" s="3">
        <v>1.14048365</v>
      </c>
      <c r="G18" s="3">
        <v>1.04829003</v>
      </c>
      <c r="H18" s="3">
        <v>1.0909534400000001</v>
      </c>
      <c r="I18" s="3">
        <f>1081655.31/1000000</f>
        <v>1.0816553100000001</v>
      </c>
      <c r="J18" s="33"/>
      <c r="K18" s="39"/>
      <c r="L18" s="22"/>
      <c r="M18" s="22"/>
    </row>
    <row r="19" spans="1:13" ht="12.75" customHeight="1" x14ac:dyDescent="0.2">
      <c r="B19" s="7">
        <v>7</v>
      </c>
      <c r="C19" s="13" t="s">
        <v>87</v>
      </c>
      <c r="D19" s="6">
        <v>23.732206000000001</v>
      </c>
      <c r="E19" s="6">
        <v>23.6007429</v>
      </c>
      <c r="F19" s="3">
        <v>23.80498433</v>
      </c>
      <c r="G19" s="3">
        <v>23.989991700000001</v>
      </c>
      <c r="H19" s="3">
        <v>23.8516479</v>
      </c>
      <c r="I19" s="3">
        <f>42344717.49/1000000</f>
        <v>42.344717490000001</v>
      </c>
      <c r="J19" s="33"/>
      <c r="K19" s="39"/>
      <c r="L19" s="22"/>
      <c r="M19" s="22"/>
    </row>
    <row r="20" spans="1:13" ht="14.1" customHeight="1" x14ac:dyDescent="0.2">
      <c r="A20" s="7">
        <v>1</v>
      </c>
      <c r="C20" s="12" t="s">
        <v>16</v>
      </c>
      <c r="D20" s="5">
        <f t="shared" ref="D20" si="16">SUM(D21:D28)</f>
        <v>361.97186670999997</v>
      </c>
      <c r="E20" s="5">
        <f t="shared" ref="E20:H20" si="17">SUM(E21:E28)</f>
        <v>358.31779497000002</v>
      </c>
      <c r="F20" s="1">
        <f t="shared" si="17"/>
        <v>350.32231292</v>
      </c>
      <c r="G20" s="1">
        <f t="shared" si="17"/>
        <v>351.21258818000001</v>
      </c>
      <c r="H20" s="1">
        <f t="shared" si="17"/>
        <v>346.48675861000004</v>
      </c>
      <c r="I20" s="1">
        <f t="shared" ref="I20" si="18">SUM(I21:I28)</f>
        <v>303.39918638</v>
      </c>
      <c r="J20" s="33"/>
      <c r="K20" s="39"/>
      <c r="L20" s="22"/>
      <c r="M20" s="22"/>
    </row>
    <row r="21" spans="1:13" ht="12.75" customHeight="1" x14ac:dyDescent="0.2">
      <c r="B21" s="7">
        <v>8</v>
      </c>
      <c r="C21" s="11" t="s">
        <v>88</v>
      </c>
      <c r="D21" s="6">
        <v>45.755314990000002</v>
      </c>
      <c r="E21" s="6">
        <v>46.114500479999997</v>
      </c>
      <c r="F21" s="3">
        <v>36.72566157</v>
      </c>
      <c r="G21" s="3">
        <v>37.249225350000003</v>
      </c>
      <c r="H21" s="3">
        <v>37.185369659999999</v>
      </c>
      <c r="I21" s="3">
        <f>36804120.64/1000000</f>
        <v>36.804120640000001</v>
      </c>
      <c r="J21" s="33"/>
      <c r="K21" s="39"/>
      <c r="L21" s="22"/>
      <c r="M21" s="22"/>
    </row>
    <row r="22" spans="1:13" ht="12.75" customHeight="1" x14ac:dyDescent="0.2">
      <c r="B22" s="7">
        <v>9</v>
      </c>
      <c r="C22" s="11" t="s">
        <v>89</v>
      </c>
      <c r="D22" s="6">
        <v>0.32197081999999999</v>
      </c>
      <c r="E22" s="6">
        <v>0.32105934000000003</v>
      </c>
      <c r="F22" s="3">
        <v>0.32095896999999995</v>
      </c>
      <c r="G22" s="3">
        <v>0.26797871000000001</v>
      </c>
      <c r="H22" s="3">
        <v>0.26791717999999998</v>
      </c>
      <c r="I22" s="3">
        <f>268199.48/1000000</f>
        <v>0.26819947999999999</v>
      </c>
      <c r="J22" s="33"/>
      <c r="K22" s="39"/>
      <c r="L22" s="22"/>
      <c r="M22" s="22"/>
    </row>
    <row r="23" spans="1:13" ht="12.75" customHeight="1" x14ac:dyDescent="0.2">
      <c r="B23" s="7">
        <v>10</v>
      </c>
      <c r="C23" s="11" t="s">
        <v>90</v>
      </c>
      <c r="D23" s="6">
        <v>13.96909323</v>
      </c>
      <c r="E23" s="6">
        <v>14.399507099999999</v>
      </c>
      <c r="F23" s="3">
        <v>14.40536225</v>
      </c>
      <c r="G23" s="3">
        <v>15.40293917</v>
      </c>
      <c r="H23" s="3">
        <v>16.679716759999998</v>
      </c>
      <c r="I23" s="3">
        <f>17012296.52/1000000</f>
        <v>17.01229652</v>
      </c>
      <c r="J23" s="33"/>
      <c r="K23" s="39"/>
      <c r="L23" s="22"/>
      <c r="M23" s="22"/>
    </row>
    <row r="24" spans="1:13" ht="12.75" customHeight="1" x14ac:dyDescent="0.2">
      <c r="B24" s="7">
        <v>11</v>
      </c>
      <c r="C24" s="11" t="s">
        <v>91</v>
      </c>
      <c r="D24" s="6">
        <v>9.8587165700000003</v>
      </c>
      <c r="E24" s="6">
        <v>10.09425826</v>
      </c>
      <c r="F24" s="3">
        <v>10.209458400000001</v>
      </c>
      <c r="G24" s="3">
        <v>11.25450305</v>
      </c>
      <c r="H24" s="3">
        <v>11.088829820000001</v>
      </c>
      <c r="I24" s="3">
        <f>13805296.93/1000000</f>
        <v>13.805296929999999</v>
      </c>
      <c r="J24" s="33"/>
      <c r="K24" s="39"/>
      <c r="L24" s="22"/>
      <c r="M24" s="22"/>
    </row>
    <row r="25" spans="1:13" ht="12.75" customHeight="1" x14ac:dyDescent="0.2">
      <c r="B25" s="7">
        <v>12</v>
      </c>
      <c r="C25" s="11" t="s">
        <v>92</v>
      </c>
      <c r="D25" s="6">
        <v>12.952611119999998</v>
      </c>
      <c r="E25" s="6">
        <v>12.170628880000001</v>
      </c>
      <c r="F25" s="3">
        <v>11.80821742</v>
      </c>
      <c r="G25" s="3">
        <v>11.523407689999999</v>
      </c>
      <c r="H25" s="3">
        <v>11.033721539999998</v>
      </c>
      <c r="I25" s="3">
        <f>7583300.74/1000000</f>
        <v>7.5833007400000003</v>
      </c>
      <c r="J25" s="33"/>
      <c r="K25" s="39"/>
      <c r="L25" s="22"/>
      <c r="M25" s="22"/>
    </row>
    <row r="26" spans="1:13" ht="12.75" customHeight="1" x14ac:dyDescent="0.2">
      <c r="B26" s="7">
        <v>13</v>
      </c>
      <c r="C26" s="11" t="s">
        <v>93</v>
      </c>
      <c r="D26" s="6">
        <v>44.650617109999999</v>
      </c>
      <c r="E26" s="6">
        <v>45.056689110000001</v>
      </c>
      <c r="F26" s="3">
        <v>46.350984350000004</v>
      </c>
      <c r="G26" s="3">
        <v>47.360208819999997</v>
      </c>
      <c r="H26" s="3">
        <v>50.74851271</v>
      </c>
      <c r="I26" s="3">
        <f>32450561.44/1000000</f>
        <v>32.450561440000001</v>
      </c>
      <c r="J26" s="33"/>
      <c r="K26" s="39"/>
      <c r="L26" s="22"/>
      <c r="M26" s="22"/>
    </row>
    <row r="27" spans="1:13" ht="12.75" customHeight="1" x14ac:dyDescent="0.2">
      <c r="B27" s="7">
        <v>14</v>
      </c>
      <c r="C27" s="11" t="s">
        <v>94</v>
      </c>
      <c r="D27" s="6">
        <v>2.7101517799999999</v>
      </c>
      <c r="E27" s="6">
        <v>5.5505732199999995</v>
      </c>
      <c r="F27" s="3">
        <v>6.2637031299999997</v>
      </c>
      <c r="G27" s="3">
        <v>6.1665921500000005</v>
      </c>
      <c r="H27" s="3">
        <v>4.0327130100000002</v>
      </c>
      <c r="I27" s="3">
        <f>3028935.18/1000000</f>
        <v>3.0289351799999999</v>
      </c>
      <c r="J27" s="33"/>
      <c r="K27" s="39"/>
      <c r="L27" s="22"/>
      <c r="M27" s="22"/>
    </row>
    <row r="28" spans="1:13" ht="12.75" customHeight="1" x14ac:dyDescent="0.2">
      <c r="B28" s="7">
        <v>15</v>
      </c>
      <c r="C28" s="11" t="s">
        <v>95</v>
      </c>
      <c r="D28" s="6">
        <v>231.75339109000001</v>
      </c>
      <c r="E28" s="6">
        <v>224.61057858000001</v>
      </c>
      <c r="F28" s="3">
        <v>224.23796683</v>
      </c>
      <c r="G28" s="3">
        <v>221.98773324000001</v>
      </c>
      <c r="H28" s="3">
        <v>215.44997793000002</v>
      </c>
      <c r="I28" s="3">
        <f>192446475.45/1000000</f>
        <v>192.44647544999998</v>
      </c>
      <c r="J28" s="33"/>
      <c r="K28" s="39"/>
      <c r="L28" s="22"/>
      <c r="M28" s="22"/>
    </row>
    <row r="29" spans="1:13" ht="13.5" customHeight="1" x14ac:dyDescent="0.2">
      <c r="A29" s="7">
        <v>1</v>
      </c>
      <c r="B29" s="7">
        <v>16</v>
      </c>
      <c r="C29" s="10" t="s">
        <v>19</v>
      </c>
      <c r="D29" s="6">
        <v>2.4600015099999997</v>
      </c>
      <c r="E29" s="6">
        <v>2.4397557400000003</v>
      </c>
      <c r="F29" s="3">
        <v>1.94520647</v>
      </c>
      <c r="G29" s="3">
        <v>1.8962750900000001</v>
      </c>
      <c r="H29" s="3">
        <v>1.97672998</v>
      </c>
      <c r="I29" s="3">
        <f>1913929.71/1000000</f>
        <v>1.9139297099999999</v>
      </c>
      <c r="J29" s="33"/>
      <c r="K29" s="39"/>
      <c r="L29" s="22"/>
      <c r="M29" s="22"/>
    </row>
    <row r="30" spans="1:13" ht="14.1" customHeight="1" x14ac:dyDescent="0.2">
      <c r="A30" s="7">
        <v>2</v>
      </c>
      <c r="C30" s="14" t="s">
        <v>20</v>
      </c>
      <c r="D30" s="5">
        <f t="shared" ref="D30" si="19">SUM(D31:D37)</f>
        <v>1358.54028118</v>
      </c>
      <c r="E30" s="5">
        <f t="shared" ref="E30:H30" si="20">SUM(E31:E37)</f>
        <v>1361.0989211899998</v>
      </c>
      <c r="F30" s="1">
        <f t="shared" si="20"/>
        <v>1357.4407530600001</v>
      </c>
      <c r="G30" s="1">
        <f t="shared" si="20"/>
        <v>1352.1729386100001</v>
      </c>
      <c r="H30" s="1">
        <f t="shared" si="20"/>
        <v>1342.3347192400001</v>
      </c>
      <c r="I30" s="1">
        <f t="shared" ref="I30" si="21">SUM(I31:I37)</f>
        <v>1334.4630294100002</v>
      </c>
      <c r="J30" s="33"/>
      <c r="K30" s="39"/>
      <c r="L30" s="22"/>
      <c r="M30" s="22"/>
    </row>
    <row r="31" spans="1:13" ht="12.75" customHeight="1" x14ac:dyDescent="0.2">
      <c r="B31" s="7">
        <v>17</v>
      </c>
      <c r="C31" s="10" t="s">
        <v>21</v>
      </c>
      <c r="D31" s="6">
        <v>966.61394688999997</v>
      </c>
      <c r="E31" s="6">
        <v>978.43401374999996</v>
      </c>
      <c r="F31" s="3">
        <v>956.53728816</v>
      </c>
      <c r="G31" s="3">
        <v>940.65338766999992</v>
      </c>
      <c r="H31" s="3">
        <v>927.02892529999997</v>
      </c>
      <c r="I31" s="3">
        <f>925059216.89/1000000</f>
        <v>925.05921689000002</v>
      </c>
      <c r="J31" s="33"/>
      <c r="K31" s="39"/>
      <c r="L31" s="22"/>
      <c r="M31" s="22"/>
    </row>
    <row r="32" spans="1:13" ht="12.75" customHeight="1" x14ac:dyDescent="0.2">
      <c r="B32" s="7">
        <v>18</v>
      </c>
      <c r="C32" s="10" t="s">
        <v>77</v>
      </c>
      <c r="D32" s="6">
        <v>85.738711670000001</v>
      </c>
      <c r="E32" s="6">
        <v>89.10366793</v>
      </c>
      <c r="F32" s="3">
        <v>93.972744659999989</v>
      </c>
      <c r="G32" s="3">
        <v>96.088808099999994</v>
      </c>
      <c r="H32" s="3">
        <v>93.965328989999989</v>
      </c>
      <c r="I32" s="3">
        <f>83009761.87/1000000</f>
        <v>83.009761870000006</v>
      </c>
      <c r="J32" s="33"/>
      <c r="K32" s="39"/>
      <c r="L32" s="22"/>
      <c r="M32" s="22"/>
    </row>
    <row r="33" spans="1:13" ht="12.75" customHeight="1" x14ac:dyDescent="0.2">
      <c r="B33" s="7">
        <v>19</v>
      </c>
      <c r="C33" s="10" t="s">
        <v>78</v>
      </c>
      <c r="D33" s="6">
        <v>218.28244021</v>
      </c>
      <c r="E33" s="6">
        <v>216.57852179</v>
      </c>
      <c r="F33" s="3">
        <v>231.18577780999999</v>
      </c>
      <c r="G33" s="3">
        <v>238.51814502000002</v>
      </c>
      <c r="H33" s="3">
        <v>242.90666519999999</v>
      </c>
      <c r="I33" s="3">
        <f>239660010.23/1000000</f>
        <v>239.66001022999998</v>
      </c>
      <c r="J33" s="33"/>
      <c r="K33" s="39"/>
      <c r="L33" s="22"/>
      <c r="M33" s="22"/>
    </row>
    <row r="34" spans="1:13" ht="12.75" customHeight="1" x14ac:dyDescent="0.2">
      <c r="B34" s="7">
        <v>20</v>
      </c>
      <c r="C34" s="10" t="s">
        <v>79</v>
      </c>
      <c r="D34" s="6">
        <v>8.9919700000000002E-3</v>
      </c>
      <c r="E34" s="6">
        <v>9.61096E-3</v>
      </c>
      <c r="F34" s="3">
        <v>7.8825600000000003E-3</v>
      </c>
      <c r="G34" s="3">
        <v>8.8057800000000009E-3</v>
      </c>
      <c r="H34" s="3">
        <v>1.0490389999999999E-2</v>
      </c>
      <c r="I34" s="3">
        <f>9647.87/1000000</f>
        <v>9.6478700000000011E-3</v>
      </c>
      <c r="J34" s="33"/>
      <c r="K34" s="39"/>
      <c r="L34" s="22"/>
      <c r="M34" s="22"/>
    </row>
    <row r="35" spans="1:13" ht="12.75" customHeight="1" x14ac:dyDescent="0.2">
      <c r="B35" s="7">
        <v>21</v>
      </c>
      <c r="C35" s="10" t="s">
        <v>80</v>
      </c>
      <c r="D35" s="6">
        <v>17.224454050000002</v>
      </c>
      <c r="E35" s="6">
        <v>6.5008465499999994</v>
      </c>
      <c r="F35" s="3">
        <v>6.3818004699999999</v>
      </c>
      <c r="G35" s="3">
        <v>6.4616886300000003</v>
      </c>
      <c r="H35" s="3">
        <v>6.2907091299999998</v>
      </c>
      <c r="I35" s="3">
        <f>15734660.56/1000000</f>
        <v>15.73466056</v>
      </c>
      <c r="J35" s="33"/>
      <c r="K35" s="39"/>
      <c r="L35" s="22"/>
      <c r="M35" s="22"/>
    </row>
    <row r="36" spans="1:13" ht="12.75" customHeight="1" x14ac:dyDescent="0.2">
      <c r="B36" s="7">
        <v>22</v>
      </c>
      <c r="C36" s="10" t="s">
        <v>81</v>
      </c>
      <c r="D36" s="6">
        <v>69.244979079999993</v>
      </c>
      <c r="E36" s="6">
        <v>68.950314769999991</v>
      </c>
      <c r="F36" s="3">
        <v>68.264655360000006</v>
      </c>
      <c r="G36" s="3">
        <v>69.500585010000009</v>
      </c>
      <c r="H36" s="3">
        <v>70.619910480000001</v>
      </c>
      <c r="I36" s="3">
        <f>69830295.47/1000000</f>
        <v>69.830295469999996</v>
      </c>
      <c r="J36" s="33"/>
      <c r="K36" s="39"/>
      <c r="L36" s="22"/>
      <c r="M36" s="22"/>
    </row>
    <row r="37" spans="1:13" ht="12.75" customHeight="1" x14ac:dyDescent="0.2">
      <c r="B37" s="7">
        <v>23</v>
      </c>
      <c r="C37" s="10" t="s">
        <v>82</v>
      </c>
      <c r="D37" s="6">
        <v>1.4267573099999999</v>
      </c>
      <c r="E37" s="6">
        <v>1.5219454399999999</v>
      </c>
      <c r="F37" s="3">
        <v>1.0906040400000001</v>
      </c>
      <c r="G37" s="3">
        <v>0.94151839999999998</v>
      </c>
      <c r="H37" s="3">
        <v>1.5126897500000001</v>
      </c>
      <c r="I37" s="3">
        <f>1159436.52/1000000</f>
        <v>1.1594365200000001</v>
      </c>
      <c r="J37" s="33"/>
      <c r="K37" s="39"/>
      <c r="L37" s="22"/>
      <c r="M37" s="22"/>
    </row>
    <row r="38" spans="1:13" ht="14.1" customHeight="1" x14ac:dyDescent="0.2">
      <c r="A38" s="7">
        <v>3</v>
      </c>
      <c r="C38" s="14" t="s">
        <v>22</v>
      </c>
      <c r="D38" s="5">
        <f t="shared" ref="D38" si="22">+D39+D40</f>
        <v>83.542149730000006</v>
      </c>
      <c r="E38" s="5">
        <f t="shared" ref="E38:H38" si="23">+E39+E40</f>
        <v>86.778399309999998</v>
      </c>
      <c r="F38" s="1">
        <f t="shared" si="23"/>
        <v>83.250373459999992</v>
      </c>
      <c r="G38" s="1">
        <f t="shared" si="23"/>
        <v>87.003159879999998</v>
      </c>
      <c r="H38" s="1">
        <f t="shared" si="23"/>
        <v>93.269332970000008</v>
      </c>
      <c r="I38" s="1">
        <f t="shared" ref="I38" si="24">+I39+I40</f>
        <v>118.36109166</v>
      </c>
      <c r="J38" s="33"/>
      <c r="K38" s="39"/>
      <c r="L38" s="22"/>
      <c r="M38" s="22"/>
    </row>
    <row r="39" spans="1:13" ht="14.1" customHeight="1" x14ac:dyDescent="0.2">
      <c r="B39" s="7">
        <v>24</v>
      </c>
      <c r="C39" s="10" t="s">
        <v>22</v>
      </c>
      <c r="D39" s="6">
        <v>59.121795210000002</v>
      </c>
      <c r="E39" s="6">
        <v>60.328855170000004</v>
      </c>
      <c r="F39" s="3">
        <v>56.557595169999999</v>
      </c>
      <c r="G39" s="3">
        <v>62.185618249999997</v>
      </c>
      <c r="H39" s="3">
        <v>64.756193590000009</v>
      </c>
      <c r="I39" s="3">
        <f>90156337.56/1000000</f>
        <v>90.156337559999997</v>
      </c>
      <c r="J39" s="33"/>
      <c r="K39" s="39"/>
      <c r="L39" s="22"/>
      <c r="M39" s="22"/>
    </row>
    <row r="40" spans="1:13" ht="14.1" customHeight="1" x14ac:dyDescent="0.2">
      <c r="B40" s="7">
        <v>25</v>
      </c>
      <c r="C40" s="10" t="s">
        <v>73</v>
      </c>
      <c r="D40" s="6">
        <v>24.42035452</v>
      </c>
      <c r="E40" s="6">
        <v>26.44954414</v>
      </c>
      <c r="F40" s="3">
        <v>26.69277829</v>
      </c>
      <c r="G40" s="3">
        <v>24.817541629999997</v>
      </c>
      <c r="H40" s="3">
        <v>28.513139379999998</v>
      </c>
      <c r="I40" s="3">
        <f>28204754.1/1000000</f>
        <v>28.204754100000002</v>
      </c>
      <c r="J40" s="33"/>
      <c r="K40" s="39"/>
      <c r="L40" s="22"/>
      <c r="M40" s="22"/>
    </row>
    <row r="41" spans="1:13" ht="14.1" customHeight="1" x14ac:dyDescent="0.2">
      <c r="A41" s="7">
        <v>4</v>
      </c>
      <c r="C41" s="14" t="s">
        <v>72</v>
      </c>
      <c r="D41" s="5">
        <f t="shared" ref="D41" si="25">+D42+D43+D44</f>
        <v>41.499875630000005</v>
      </c>
      <c r="E41" s="5">
        <f t="shared" ref="E41:H41" si="26">+E42+E43+E44</f>
        <v>40.718610239999997</v>
      </c>
      <c r="F41" s="1">
        <f t="shared" si="26"/>
        <v>40.604609879999998</v>
      </c>
      <c r="G41" s="1">
        <f t="shared" si="26"/>
        <v>146.61849040999999</v>
      </c>
      <c r="H41" s="1">
        <f t="shared" si="26"/>
        <v>131.42557740000001</v>
      </c>
      <c r="I41" s="1">
        <f t="shared" ref="I41" si="27">+I42+I43+I44</f>
        <v>130.84687258</v>
      </c>
      <c r="J41" s="33"/>
      <c r="K41" s="39"/>
      <c r="L41" s="22"/>
      <c r="M41" s="22"/>
    </row>
    <row r="42" spans="1:13" ht="14.1" customHeight="1" x14ac:dyDescent="0.2">
      <c r="B42" s="22">
        <v>26</v>
      </c>
      <c r="C42" s="10" t="s">
        <v>74</v>
      </c>
      <c r="D42" s="6">
        <v>20.615152210000002</v>
      </c>
      <c r="E42" s="36">
        <v>20.494195940000001</v>
      </c>
      <c r="F42" s="3">
        <v>19.78517291</v>
      </c>
      <c r="G42" s="3">
        <v>19.7379009</v>
      </c>
      <c r="H42" s="3">
        <v>6.8702718699999998</v>
      </c>
      <c r="I42" s="3">
        <f>5179746.55/1000000</f>
        <v>5.1797465499999999</v>
      </c>
      <c r="J42" s="33"/>
      <c r="K42" s="39"/>
      <c r="L42" s="22"/>
      <c r="M42" s="22"/>
    </row>
    <row r="43" spans="1:13" ht="14.1" customHeight="1" x14ac:dyDescent="0.2">
      <c r="B43" s="22">
        <v>27</v>
      </c>
      <c r="C43" s="10" t="s">
        <v>75</v>
      </c>
      <c r="D43" s="6">
        <v>19.542163460000001</v>
      </c>
      <c r="E43" s="36">
        <v>18.909791559999999</v>
      </c>
      <c r="F43" s="3">
        <v>19.079706569999999</v>
      </c>
      <c r="G43" s="3">
        <v>125.20118393999999</v>
      </c>
      <c r="H43" s="3">
        <v>122.92224914000001</v>
      </c>
      <c r="I43" s="3">
        <f>123742514.84/1000000</f>
        <v>123.74251484</v>
      </c>
      <c r="J43" s="33"/>
      <c r="K43" s="39"/>
      <c r="L43" s="22"/>
      <c r="M43" s="22"/>
    </row>
    <row r="44" spans="1:13" ht="14.1" customHeight="1" x14ac:dyDescent="0.2">
      <c r="B44" s="7">
        <v>28</v>
      </c>
      <c r="C44" s="10" t="s">
        <v>76</v>
      </c>
      <c r="D44" s="6">
        <v>1.34255996</v>
      </c>
      <c r="E44" s="36">
        <v>1.3146227399999999</v>
      </c>
      <c r="F44" s="3">
        <v>1.7397304</v>
      </c>
      <c r="G44" s="3">
        <v>1.6794055700000001</v>
      </c>
      <c r="H44" s="3">
        <v>1.6330563899999999</v>
      </c>
      <c r="I44" s="3">
        <f>1924611.19/1000000</f>
        <v>1.92461119</v>
      </c>
      <c r="J44" s="33"/>
      <c r="K44" s="39"/>
      <c r="L44" s="22"/>
      <c r="M44" s="22"/>
    </row>
    <row r="45" spans="1:13" ht="14.1" customHeight="1" x14ac:dyDescent="0.2">
      <c r="A45" s="7">
        <v>5</v>
      </c>
      <c r="C45" s="14" t="s">
        <v>23</v>
      </c>
      <c r="D45" s="5">
        <f>D46+D49</f>
        <v>6614.2573021999997</v>
      </c>
      <c r="E45" s="5">
        <f t="shared" ref="E45:H45" si="28">E46+E49</f>
        <v>6856.9861432899997</v>
      </c>
      <c r="F45" s="1">
        <f t="shared" si="28"/>
        <v>7120.6181106900003</v>
      </c>
      <c r="G45" s="1">
        <f t="shared" si="28"/>
        <v>6651.2288036699993</v>
      </c>
      <c r="H45" s="1">
        <f t="shared" si="28"/>
        <v>6733.9139520500003</v>
      </c>
      <c r="I45" s="1">
        <f>I46+I49</f>
        <v>6782.8090740799998</v>
      </c>
      <c r="J45" s="33"/>
      <c r="K45" s="39"/>
      <c r="L45" s="22"/>
      <c r="M45" s="22"/>
    </row>
    <row r="46" spans="1:13" ht="14.1" customHeight="1" x14ac:dyDescent="0.2">
      <c r="B46" s="7">
        <v>29</v>
      </c>
      <c r="C46" s="10" t="s">
        <v>24</v>
      </c>
      <c r="D46" s="5">
        <f>SUM(D47:D48)</f>
        <v>4068.0172842400002</v>
      </c>
      <c r="E46" s="5">
        <f t="shared" ref="E46:G46" si="29">SUM(E47:E48)</f>
        <v>4208.3252015500002</v>
      </c>
      <c r="F46" s="1">
        <f t="shared" si="29"/>
        <v>4602.6848580400001</v>
      </c>
      <c r="G46" s="1">
        <f t="shared" si="29"/>
        <v>4206.3558238599999</v>
      </c>
      <c r="H46" s="1">
        <f t="shared" ref="H46" si="30">SUM(H47:H48)</f>
        <v>4309.5395260900004</v>
      </c>
      <c r="I46" s="1">
        <f>SUM(I47:I48)</f>
        <v>4400.8271694199993</v>
      </c>
      <c r="J46" s="33"/>
      <c r="K46" s="39"/>
      <c r="L46" s="38"/>
      <c r="M46" s="22"/>
    </row>
    <row r="47" spans="1:13" ht="14.1" customHeight="1" x14ac:dyDescent="0.2">
      <c r="C47" s="11" t="s">
        <v>25</v>
      </c>
      <c r="D47" s="6">
        <v>1552.4513511300001</v>
      </c>
      <c r="E47" s="6">
        <v>1750.5889618399999</v>
      </c>
      <c r="F47" s="3">
        <v>1969.0251853300001</v>
      </c>
      <c r="G47" s="3">
        <v>1770.72337993</v>
      </c>
      <c r="H47" s="3">
        <v>1780.3944873599999</v>
      </c>
      <c r="I47" s="3">
        <f>1799047849.58/1000000</f>
        <v>1799.0478495799998</v>
      </c>
      <c r="J47" s="33"/>
      <c r="K47" s="39"/>
      <c r="L47" s="22"/>
      <c r="M47" s="22"/>
    </row>
    <row r="48" spans="1:13" ht="14.1" customHeight="1" x14ac:dyDescent="0.2">
      <c r="C48" s="13" t="s">
        <v>26</v>
      </c>
      <c r="D48" s="6">
        <v>2515.5659331100001</v>
      </c>
      <c r="E48" s="6">
        <v>2457.7362397100001</v>
      </c>
      <c r="F48" s="3">
        <v>2633.65967271</v>
      </c>
      <c r="G48" s="3">
        <v>2435.6324439299997</v>
      </c>
      <c r="H48" s="3">
        <v>2529.1450387300001</v>
      </c>
      <c r="I48" s="3">
        <f>2601779319.84/1000000</f>
        <v>2601.77931984</v>
      </c>
      <c r="J48" s="33"/>
      <c r="K48" s="39"/>
      <c r="L48" s="22"/>
      <c r="M48" s="22"/>
    </row>
    <row r="49" spans="1:13" ht="14.1" customHeight="1" x14ac:dyDescent="0.2">
      <c r="B49" s="7">
        <v>30</v>
      </c>
      <c r="C49" s="10" t="s">
        <v>27</v>
      </c>
      <c r="D49" s="6">
        <v>2546.2400179599999</v>
      </c>
      <c r="E49" s="6">
        <v>2648.66094174</v>
      </c>
      <c r="F49" s="3">
        <v>2517.9332526500002</v>
      </c>
      <c r="G49" s="3">
        <v>2444.8729798099998</v>
      </c>
      <c r="H49" s="3">
        <v>2424.3744259599998</v>
      </c>
      <c r="I49" s="3">
        <f>2381981904.66/1000000</f>
        <v>2381.9819046600001</v>
      </c>
      <c r="J49" s="33"/>
      <c r="K49" s="39"/>
      <c r="L49" s="22"/>
      <c r="M49" s="22"/>
    </row>
    <row r="50" spans="1:13" ht="14.1" customHeight="1" x14ac:dyDescent="0.2">
      <c r="A50" s="7">
        <v>5</v>
      </c>
      <c r="C50" s="14" t="s">
        <v>28</v>
      </c>
      <c r="D50" s="5">
        <f t="shared" ref="D50" si="31">SUM(D51:D62)</f>
        <v>6373.8422971199998</v>
      </c>
      <c r="E50" s="5">
        <f t="shared" ref="E50" si="32">SUM(E51:E62)</f>
        <v>6554.1028418700007</v>
      </c>
      <c r="F50" s="1">
        <f>SUM(F51:F62)</f>
        <v>6707.6279212799982</v>
      </c>
      <c r="G50" s="1">
        <f>SUM(G51:G62)</f>
        <v>6608.435734489999</v>
      </c>
      <c r="H50" s="1">
        <f t="shared" ref="H50" si="33">SUM(H51:H62)</f>
        <v>6586.5857519300007</v>
      </c>
      <c r="I50" s="1">
        <f t="shared" ref="I50" si="34">SUM(I51:I62)</f>
        <v>6741.6326531399991</v>
      </c>
      <c r="J50" s="33"/>
      <c r="K50" s="39"/>
      <c r="L50" s="38"/>
      <c r="M50" s="22"/>
    </row>
    <row r="51" spans="1:13" ht="14.1" customHeight="1" x14ac:dyDescent="0.2">
      <c r="B51" s="7">
        <v>31</v>
      </c>
      <c r="C51" s="10" t="s">
        <v>71</v>
      </c>
      <c r="D51" s="6">
        <v>882.53437283000005</v>
      </c>
      <c r="E51" s="37">
        <v>894.31015489000004</v>
      </c>
      <c r="F51" s="3">
        <v>939.02381742999989</v>
      </c>
      <c r="G51" s="3">
        <v>865.83241740999995</v>
      </c>
      <c r="H51" s="3">
        <v>804.84332710000001</v>
      </c>
      <c r="I51" s="3">
        <f>842759263.39/1000000</f>
        <v>842.75926339</v>
      </c>
      <c r="J51" s="33"/>
      <c r="K51" s="39"/>
      <c r="L51" s="22"/>
      <c r="M51" s="22"/>
    </row>
    <row r="52" spans="1:13" ht="14.1" customHeight="1" x14ac:dyDescent="0.2">
      <c r="B52" s="7">
        <v>32</v>
      </c>
      <c r="C52" s="10" t="s">
        <v>60</v>
      </c>
      <c r="D52" s="6">
        <v>608.55389597999999</v>
      </c>
      <c r="E52" s="37">
        <v>644.76310535000005</v>
      </c>
      <c r="F52" s="3">
        <v>667.09704350999993</v>
      </c>
      <c r="G52" s="3">
        <v>659.11032455999998</v>
      </c>
      <c r="H52" s="3">
        <v>634.5788698099999</v>
      </c>
      <c r="I52" s="3">
        <f>611457021.41/1000000</f>
        <v>611.45702140999992</v>
      </c>
      <c r="J52" s="33"/>
      <c r="K52" s="39"/>
      <c r="L52" s="22"/>
      <c r="M52" s="22"/>
    </row>
    <row r="53" spans="1:13" ht="14.1" customHeight="1" x14ac:dyDescent="0.2">
      <c r="B53" s="7">
        <v>33</v>
      </c>
      <c r="C53" s="10" t="s">
        <v>61</v>
      </c>
      <c r="D53" s="6">
        <v>45.667932960000002</v>
      </c>
      <c r="E53" s="37">
        <v>43.32425215</v>
      </c>
      <c r="F53" s="3">
        <v>94.31259842</v>
      </c>
      <c r="G53" s="3">
        <v>96.847738079999999</v>
      </c>
      <c r="H53" s="3">
        <v>98.136484809999999</v>
      </c>
      <c r="I53" s="3">
        <f>63402186.74/1000000</f>
        <v>63.402186740000005</v>
      </c>
      <c r="J53" s="33"/>
      <c r="K53" s="39"/>
      <c r="L53" s="22"/>
      <c r="M53" s="22"/>
    </row>
    <row r="54" spans="1:13" ht="14.1" customHeight="1" x14ac:dyDescent="0.2">
      <c r="B54" s="7">
        <v>34</v>
      </c>
      <c r="C54" s="10" t="s">
        <v>62</v>
      </c>
      <c r="D54" s="6">
        <v>4.6780745700000006</v>
      </c>
      <c r="E54" s="37">
        <v>4.7913487100000003</v>
      </c>
      <c r="F54" s="3">
        <v>4.6234580599999999</v>
      </c>
      <c r="G54" s="3">
        <v>4.4391375599999998</v>
      </c>
      <c r="H54" s="3">
        <v>4.5441171100000002</v>
      </c>
      <c r="I54" s="3">
        <f>4420159.68/1000000</f>
        <v>4.4201596799999994</v>
      </c>
      <c r="J54" s="33"/>
      <c r="K54" s="39"/>
      <c r="L54" s="22"/>
      <c r="M54" s="22"/>
    </row>
    <row r="55" spans="1:13" ht="14.1" customHeight="1" x14ac:dyDescent="0.2">
      <c r="B55" s="7">
        <v>35</v>
      </c>
      <c r="C55" s="10" t="s">
        <v>63</v>
      </c>
      <c r="D55" s="6">
        <v>13.702770859999999</v>
      </c>
      <c r="E55" s="37">
        <v>15.45828798</v>
      </c>
      <c r="F55" s="3">
        <v>17.654560929999999</v>
      </c>
      <c r="G55" s="3">
        <v>15.85565624</v>
      </c>
      <c r="H55" s="3">
        <v>15.255721470000001</v>
      </c>
      <c r="I55" s="3">
        <f>15860634.35/1000000</f>
        <v>15.86063435</v>
      </c>
      <c r="J55" s="33"/>
      <c r="K55" s="39"/>
      <c r="L55" s="22"/>
      <c r="M55" s="22"/>
    </row>
    <row r="56" spans="1:13" ht="14.1" customHeight="1" x14ac:dyDescent="0.2">
      <c r="B56" s="7">
        <v>36</v>
      </c>
      <c r="C56" s="10" t="s">
        <v>64</v>
      </c>
      <c r="D56" s="25">
        <v>402.85061254999999</v>
      </c>
      <c r="E56" s="37">
        <v>387.82532320999997</v>
      </c>
      <c r="F56" s="18">
        <v>395.54510452999995</v>
      </c>
      <c r="G56" s="18">
        <v>381.24745675999998</v>
      </c>
      <c r="H56" s="18">
        <v>350.6187506</v>
      </c>
      <c r="I56" s="18">
        <f>373513905.92/1000000</f>
        <v>373.51390592000001</v>
      </c>
      <c r="J56" s="33"/>
      <c r="K56" s="39"/>
      <c r="L56" s="22"/>
      <c r="M56" s="22"/>
    </row>
    <row r="57" spans="1:13" ht="14.1" customHeight="1" x14ac:dyDescent="0.2">
      <c r="B57" s="7">
        <v>37</v>
      </c>
      <c r="C57" s="10" t="s">
        <v>65</v>
      </c>
      <c r="D57" s="6">
        <v>147.67112109999999</v>
      </c>
      <c r="E57" s="37">
        <v>100.86853307999999</v>
      </c>
      <c r="F57" s="3">
        <v>98.704819939999993</v>
      </c>
      <c r="G57" s="3">
        <v>95.573278129999991</v>
      </c>
      <c r="H57" s="3">
        <v>93.596234349999989</v>
      </c>
      <c r="I57" s="3">
        <f>91848156.14/1000000</f>
        <v>91.84815614</v>
      </c>
      <c r="J57" s="33"/>
      <c r="K57" s="39"/>
      <c r="L57" s="22"/>
      <c r="M57" s="22"/>
    </row>
    <row r="58" spans="1:13" ht="14.1" customHeight="1" x14ac:dyDescent="0.2">
      <c r="B58" s="7">
        <v>38</v>
      </c>
      <c r="C58" s="10" t="s">
        <v>66</v>
      </c>
      <c r="D58" s="6">
        <v>71.147053720000002</v>
      </c>
      <c r="E58" s="37">
        <v>87.396865040000009</v>
      </c>
      <c r="F58" s="3">
        <v>83.652322870000006</v>
      </c>
      <c r="G58" s="3">
        <v>86.650835260000008</v>
      </c>
      <c r="H58" s="3">
        <v>78.649969859999999</v>
      </c>
      <c r="I58" s="3">
        <f>67015915.11/1000000</f>
        <v>67.015915109999995</v>
      </c>
      <c r="J58" s="33"/>
      <c r="K58" s="39"/>
      <c r="L58" s="22"/>
      <c r="M58" s="22"/>
    </row>
    <row r="59" spans="1:13" ht="14.1" customHeight="1" x14ac:dyDescent="0.2">
      <c r="B59" s="7">
        <v>39</v>
      </c>
      <c r="C59" s="10" t="s">
        <v>67</v>
      </c>
      <c r="D59" s="6">
        <v>230.05397134</v>
      </c>
      <c r="E59" s="37">
        <v>230.50258547999999</v>
      </c>
      <c r="F59" s="3">
        <v>243.71007578999999</v>
      </c>
      <c r="G59" s="3">
        <v>248.19834911000001</v>
      </c>
      <c r="H59" s="3">
        <v>249.48926952000002</v>
      </c>
      <c r="I59" s="3">
        <f>251221322.69/1000000</f>
        <v>251.22132268999999</v>
      </c>
      <c r="J59" s="33"/>
      <c r="K59" s="39"/>
      <c r="L59" s="22"/>
      <c r="M59" s="22"/>
    </row>
    <row r="60" spans="1:13" ht="14.1" customHeight="1" x14ac:dyDescent="0.2">
      <c r="B60" s="7">
        <v>40</v>
      </c>
      <c r="C60" s="10" t="s">
        <v>68</v>
      </c>
      <c r="D60" s="6">
        <v>2900.1632934200002</v>
      </c>
      <c r="E60" s="37">
        <v>2953.8504865700002</v>
      </c>
      <c r="F60" s="3">
        <v>3056.6759229899999</v>
      </c>
      <c r="G60" s="3">
        <v>2987.2841783899999</v>
      </c>
      <c r="H60" s="3">
        <v>3086.43037116</v>
      </c>
      <c r="I60" s="3">
        <f>3191937737.92/1000000</f>
        <v>3191.93773792</v>
      </c>
      <c r="J60" s="33"/>
      <c r="K60" s="39"/>
      <c r="L60" s="22"/>
      <c r="M60" s="22"/>
    </row>
    <row r="61" spans="1:13" ht="14.1" customHeight="1" x14ac:dyDescent="0.2">
      <c r="B61" s="7">
        <v>41</v>
      </c>
      <c r="C61" s="10" t="s">
        <v>69</v>
      </c>
      <c r="D61" s="6">
        <v>177.98212563999999</v>
      </c>
      <c r="E61" s="37">
        <v>175.55552940999999</v>
      </c>
      <c r="F61" s="3">
        <v>183.41459556000001</v>
      </c>
      <c r="G61" s="3">
        <v>187.00105343999999</v>
      </c>
      <c r="H61" s="3">
        <v>226.89830605</v>
      </c>
      <c r="I61" s="3">
        <f>187824097.92/1000000</f>
        <v>187.82409791999999</v>
      </c>
      <c r="J61" s="33"/>
      <c r="K61" s="39"/>
      <c r="L61" s="22"/>
      <c r="M61" s="22"/>
    </row>
    <row r="62" spans="1:13" ht="14.1" customHeight="1" x14ac:dyDescent="0.2">
      <c r="B62" s="7">
        <v>42</v>
      </c>
      <c r="C62" s="10" t="s">
        <v>70</v>
      </c>
      <c r="D62" s="6">
        <v>888.83707214999993</v>
      </c>
      <c r="E62" s="37">
        <v>1015.45637</v>
      </c>
      <c r="F62" s="3">
        <v>923.21360125000001</v>
      </c>
      <c r="G62" s="3">
        <v>980.39530954999998</v>
      </c>
      <c r="H62" s="3">
        <v>943.54433009000002</v>
      </c>
      <c r="I62" s="3">
        <f>1040372251.87/1000000</f>
        <v>1040.3722518699999</v>
      </c>
      <c r="J62" s="33"/>
      <c r="K62" s="39"/>
      <c r="L62" s="22"/>
      <c r="M62" s="22"/>
    </row>
    <row r="63" spans="1:13" ht="14.1" customHeight="1" x14ac:dyDescent="0.2">
      <c r="A63" s="7">
        <v>6</v>
      </c>
      <c r="C63" s="14" t="s">
        <v>29</v>
      </c>
      <c r="D63" s="5">
        <f>D64+D65+D66+D67+D68+D69</f>
        <v>1659.2097131999999</v>
      </c>
      <c r="E63" s="5">
        <f t="shared" ref="E63:H63" si="35">E64+E65+E66+E67+E68+E69</f>
        <v>1687.1958799399999</v>
      </c>
      <c r="F63" s="1">
        <f t="shared" si="35"/>
        <v>1738.4846775700003</v>
      </c>
      <c r="G63" s="1">
        <f t="shared" si="35"/>
        <v>1776.0572376900002</v>
      </c>
      <c r="H63" s="1">
        <f t="shared" si="35"/>
        <v>2015.0895073300001</v>
      </c>
      <c r="I63" s="1">
        <f t="shared" ref="I63" si="36">I64+I65+I66+I67+I68+I69</f>
        <v>2062.4086612299998</v>
      </c>
      <c r="J63" s="33"/>
      <c r="K63" s="39"/>
      <c r="L63" s="22"/>
      <c r="M63" s="22"/>
    </row>
    <row r="64" spans="1:13" ht="12.75" customHeight="1" x14ac:dyDescent="0.2">
      <c r="B64" s="7">
        <v>43</v>
      </c>
      <c r="C64" s="15" t="s">
        <v>54</v>
      </c>
      <c r="D64" s="6">
        <v>783.33233116999997</v>
      </c>
      <c r="E64" s="37">
        <v>834.41309265999996</v>
      </c>
      <c r="F64" s="3">
        <v>848.92767420000007</v>
      </c>
      <c r="G64" s="3">
        <v>808.16783048000002</v>
      </c>
      <c r="H64" s="32">
        <v>848.70798571</v>
      </c>
      <c r="I64" s="32">
        <f>853387038.5/1000000</f>
        <v>853.38703850000002</v>
      </c>
      <c r="J64" s="33"/>
      <c r="K64" s="39"/>
      <c r="L64" s="22"/>
      <c r="M64" s="22"/>
    </row>
    <row r="65" spans="1:13" ht="12.75" customHeight="1" x14ac:dyDescent="0.2">
      <c r="B65" s="7">
        <v>44</v>
      </c>
      <c r="C65" s="15" t="s">
        <v>55</v>
      </c>
      <c r="D65" s="6">
        <v>46.378740819999997</v>
      </c>
      <c r="E65" s="37">
        <v>47.894885049999999</v>
      </c>
      <c r="F65" s="3">
        <v>50.810158450000003</v>
      </c>
      <c r="G65" s="3">
        <v>51.155253729999998</v>
      </c>
      <c r="H65" s="32">
        <v>51.295422560000006</v>
      </c>
      <c r="I65" s="32">
        <f>51079113.65/1000000</f>
        <v>51.079113649999996</v>
      </c>
      <c r="J65" s="33"/>
      <c r="K65" s="39"/>
      <c r="L65" s="22"/>
      <c r="M65" s="22"/>
    </row>
    <row r="66" spans="1:13" ht="12.75" customHeight="1" x14ac:dyDescent="0.2">
      <c r="B66" s="7">
        <v>45</v>
      </c>
      <c r="C66" s="15" t="s">
        <v>56</v>
      </c>
      <c r="D66" s="6">
        <v>301.46279218000001</v>
      </c>
      <c r="E66" s="37">
        <v>301.82590756999997</v>
      </c>
      <c r="F66" s="3">
        <v>318.46033777999997</v>
      </c>
      <c r="G66" s="3">
        <v>361.49965579000002</v>
      </c>
      <c r="H66" s="32">
        <v>413.00598891999999</v>
      </c>
      <c r="I66" s="32">
        <f>433753969.83/1000000</f>
        <v>433.75396982999996</v>
      </c>
      <c r="J66" s="33"/>
      <c r="K66" s="39"/>
      <c r="L66" s="22"/>
      <c r="M66" s="22"/>
    </row>
    <row r="67" spans="1:13" ht="12.75" customHeight="1" x14ac:dyDescent="0.2">
      <c r="B67" s="7">
        <v>46</v>
      </c>
      <c r="C67" s="15" t="s">
        <v>57</v>
      </c>
      <c r="D67" s="6">
        <v>30.729651820000001</v>
      </c>
      <c r="E67" s="37">
        <v>36.831100090000007</v>
      </c>
      <c r="F67" s="3">
        <v>39.2977694</v>
      </c>
      <c r="G67" s="3">
        <v>55.909343189999994</v>
      </c>
      <c r="H67" s="32">
        <v>134.67140287000001</v>
      </c>
      <c r="I67" s="32">
        <f>125360427.05/1000000</f>
        <v>125.36042705</v>
      </c>
      <c r="J67" s="33"/>
      <c r="K67" s="39"/>
      <c r="L67" s="22"/>
      <c r="M67" s="22"/>
    </row>
    <row r="68" spans="1:13" ht="12.75" customHeight="1" x14ac:dyDescent="0.2">
      <c r="B68" s="7">
        <v>47</v>
      </c>
      <c r="C68" s="15" t="s">
        <v>58</v>
      </c>
      <c r="D68" s="6">
        <v>56.717754899999996</v>
      </c>
      <c r="E68" s="37">
        <v>62.377842700000002</v>
      </c>
      <c r="F68" s="3">
        <v>51.38137424</v>
      </c>
      <c r="G68" s="3">
        <v>54.246560840000001</v>
      </c>
      <c r="H68" s="32">
        <v>66.962499390000005</v>
      </c>
      <c r="I68" s="32">
        <f>75132892/1000000</f>
        <v>75.132891999999998</v>
      </c>
      <c r="J68" s="33"/>
      <c r="K68" s="39"/>
      <c r="L68" s="22"/>
      <c r="M68" s="22"/>
    </row>
    <row r="69" spans="1:13" ht="12.75" customHeight="1" x14ac:dyDescent="0.2">
      <c r="B69" s="7">
        <v>48</v>
      </c>
      <c r="C69" s="15" t="s">
        <v>59</v>
      </c>
      <c r="D69" s="6">
        <v>440.58844231</v>
      </c>
      <c r="E69" s="37">
        <v>403.85305187</v>
      </c>
      <c r="F69" s="3">
        <v>429.60736350000002</v>
      </c>
      <c r="G69" s="3">
        <v>445.07859366000002</v>
      </c>
      <c r="H69" s="32">
        <v>500.44620787999997</v>
      </c>
      <c r="I69" s="32">
        <f>523695220.2/1000000</f>
        <v>523.69522019999999</v>
      </c>
      <c r="J69" s="33"/>
      <c r="K69" s="39"/>
      <c r="L69" s="22"/>
      <c r="M69" s="22"/>
    </row>
    <row r="70" spans="1:13" ht="13.5" customHeight="1" x14ac:dyDescent="0.2">
      <c r="A70" s="7">
        <v>6</v>
      </c>
      <c r="B70" s="7">
        <v>49</v>
      </c>
      <c r="C70" s="16" t="s">
        <v>53</v>
      </c>
      <c r="D70" s="6">
        <v>2495.9740241199997</v>
      </c>
      <c r="E70" s="37">
        <v>2394.2910211999997</v>
      </c>
      <c r="F70" s="3">
        <v>2441.0211058899999</v>
      </c>
      <c r="G70" s="3">
        <v>2110.3189157100001</v>
      </c>
      <c r="H70" s="32">
        <v>2104.8644210799998</v>
      </c>
      <c r="I70" s="32">
        <f>1506661806.43/1000000</f>
        <v>1506.6618064300001</v>
      </c>
      <c r="J70" s="33"/>
      <c r="K70" s="39"/>
      <c r="L70" s="22"/>
      <c r="M70" s="22"/>
    </row>
    <row r="71" spans="1:13" ht="14.1" customHeight="1" x14ac:dyDescent="0.2">
      <c r="C71" s="14" t="s">
        <v>52</v>
      </c>
      <c r="D71" s="5">
        <f t="shared" ref="D71" si="37">D72+D73+D74+D75</f>
        <v>4810.5988331500002</v>
      </c>
      <c r="E71" s="5">
        <f t="shared" ref="E71:H71" si="38">E72+E73+E74+E75</f>
        <v>4614.1937371700005</v>
      </c>
      <c r="F71" s="1">
        <f t="shared" si="38"/>
        <v>4464.9297493100003</v>
      </c>
      <c r="G71" s="1">
        <f t="shared" si="38"/>
        <v>4517.1359041400001</v>
      </c>
      <c r="H71" s="1">
        <f t="shared" si="38"/>
        <v>4348.8003510600001</v>
      </c>
      <c r="I71" s="1">
        <f t="shared" ref="I71" si="39">I72+I73+I74+I75</f>
        <v>4143.4685701799999</v>
      </c>
      <c r="J71" s="33"/>
      <c r="K71" s="39"/>
      <c r="L71" s="22"/>
      <c r="M71" s="22"/>
    </row>
    <row r="72" spans="1:13" ht="12.75" customHeight="1" x14ac:dyDescent="0.2">
      <c r="A72" s="7">
        <v>7</v>
      </c>
      <c r="B72" s="7">
        <v>50</v>
      </c>
      <c r="C72" s="12" t="s">
        <v>48</v>
      </c>
      <c r="D72" s="6">
        <v>1658.35857472</v>
      </c>
      <c r="E72" s="37">
        <v>1619.07662392</v>
      </c>
      <c r="F72" s="3">
        <v>1534.03635306</v>
      </c>
      <c r="G72" s="3">
        <v>1435.7182293199999</v>
      </c>
      <c r="H72" s="3">
        <v>1384.05092801</v>
      </c>
      <c r="I72" s="3">
        <f>1648099771.74/1000000</f>
        <v>1648.0997717400001</v>
      </c>
      <c r="J72" s="33"/>
      <c r="K72" s="39"/>
      <c r="L72" s="22"/>
      <c r="M72" s="22"/>
    </row>
    <row r="73" spans="1:13" ht="12.75" customHeight="1" x14ac:dyDescent="0.2">
      <c r="A73" s="7">
        <v>8</v>
      </c>
      <c r="B73" s="7">
        <v>51</v>
      </c>
      <c r="C73" s="15" t="s">
        <v>49</v>
      </c>
      <c r="D73" s="6">
        <v>1021.09396336</v>
      </c>
      <c r="E73" s="37">
        <v>955.65947841000002</v>
      </c>
      <c r="F73" s="3">
        <v>950.94703127000002</v>
      </c>
      <c r="G73" s="3">
        <v>952.92412689000003</v>
      </c>
      <c r="H73" s="3">
        <v>934.12085286000001</v>
      </c>
      <c r="I73" s="3">
        <f>943059110.56/1000000</f>
        <v>943.05911055999991</v>
      </c>
      <c r="J73" s="33"/>
      <c r="K73" s="39"/>
      <c r="L73" s="22"/>
      <c r="M73" s="22"/>
    </row>
    <row r="74" spans="1:13" ht="12.75" customHeight="1" x14ac:dyDescent="0.2">
      <c r="A74" s="7">
        <v>8</v>
      </c>
      <c r="B74" s="7">
        <v>52</v>
      </c>
      <c r="C74" s="15" t="s">
        <v>50</v>
      </c>
      <c r="D74" s="6">
        <v>740.33136074000004</v>
      </c>
      <c r="E74" s="37">
        <v>717.31769883000004</v>
      </c>
      <c r="F74" s="3">
        <v>696.15244304999999</v>
      </c>
      <c r="G74" s="3">
        <v>674.86417999000003</v>
      </c>
      <c r="H74" s="3">
        <v>661.97857496000006</v>
      </c>
      <c r="I74" s="3">
        <f>406550329.25/1000000</f>
        <v>406.55032925</v>
      </c>
      <c r="J74" s="33"/>
      <c r="K74" s="39"/>
      <c r="L74" s="22"/>
      <c r="M74" s="22"/>
    </row>
    <row r="75" spans="1:13" ht="12.75" customHeight="1" x14ac:dyDescent="0.2">
      <c r="A75" s="7">
        <v>8</v>
      </c>
      <c r="B75" s="7">
        <v>53</v>
      </c>
      <c r="C75" s="15" t="s">
        <v>51</v>
      </c>
      <c r="D75" s="6">
        <v>1390.8149343299999</v>
      </c>
      <c r="E75" s="37">
        <v>1322.1399360099999</v>
      </c>
      <c r="F75" s="3">
        <v>1283.7939219300001</v>
      </c>
      <c r="G75" s="3">
        <v>1453.6293679400001</v>
      </c>
      <c r="H75" s="3">
        <v>1368.6499952300001</v>
      </c>
      <c r="I75" s="3">
        <f>1145759358.63/1000000</f>
        <v>1145.7593586300002</v>
      </c>
      <c r="J75" s="33"/>
      <c r="K75" s="39"/>
      <c r="L75" s="22"/>
      <c r="M75" s="22"/>
    </row>
    <row r="76" spans="1:13" ht="14.1" customHeight="1" x14ac:dyDescent="0.2">
      <c r="C76" s="16" t="s">
        <v>42</v>
      </c>
      <c r="D76" s="5">
        <f t="shared" ref="D76" si="40">D77+D78</f>
        <v>20037.442841309999</v>
      </c>
      <c r="E76" s="5">
        <f t="shared" ref="E76:H76" si="41">E77+E78</f>
        <v>20107.11772319</v>
      </c>
      <c r="F76" s="1">
        <f t="shared" si="41"/>
        <v>20175.754957179997</v>
      </c>
      <c r="G76" s="1">
        <f t="shared" si="41"/>
        <v>20383.301396360002</v>
      </c>
      <c r="H76" s="1">
        <f t="shared" si="41"/>
        <v>20348.615632489997</v>
      </c>
      <c r="I76" s="1">
        <f t="shared" ref="I76" si="42">I77+I78</f>
        <v>20309.399303180002</v>
      </c>
      <c r="J76" s="33"/>
      <c r="K76" s="39"/>
      <c r="L76" s="22"/>
      <c r="M76" s="22"/>
    </row>
    <row r="77" spans="1:13" ht="12.75" customHeight="1" x14ac:dyDescent="0.2">
      <c r="A77" s="7">
        <v>7</v>
      </c>
      <c r="B77" s="7">
        <v>54</v>
      </c>
      <c r="C77" s="19" t="s">
        <v>43</v>
      </c>
      <c r="D77" s="6">
        <v>18724.226388290001</v>
      </c>
      <c r="E77" s="37">
        <v>18785.169300019999</v>
      </c>
      <c r="F77" s="3">
        <v>18890.470044319998</v>
      </c>
      <c r="G77" s="3">
        <v>19130.388961680001</v>
      </c>
      <c r="H77" s="3">
        <v>19133.208340729998</v>
      </c>
      <c r="I77" s="3">
        <f>19044333074.99/1000000</f>
        <v>19044.333074990001</v>
      </c>
      <c r="J77" s="33"/>
      <c r="K77" s="39"/>
      <c r="L77" s="34"/>
      <c r="M77" s="22"/>
    </row>
    <row r="78" spans="1:13" ht="12.75" customHeight="1" x14ac:dyDescent="0.2">
      <c r="A78" s="7">
        <v>8</v>
      </c>
      <c r="B78" s="7">
        <v>55</v>
      </c>
      <c r="C78" s="15" t="s">
        <v>44</v>
      </c>
      <c r="D78" s="6">
        <v>1313.21645302</v>
      </c>
      <c r="E78" s="37">
        <v>1321.9484231700001</v>
      </c>
      <c r="F78" s="3">
        <v>1285.2849128599998</v>
      </c>
      <c r="G78" s="3">
        <v>1252.9124346800002</v>
      </c>
      <c r="H78" s="3">
        <v>1215.4072917599999</v>
      </c>
      <c r="I78" s="3">
        <f>1265066228.19/1000000</f>
        <v>1265.0662281899999</v>
      </c>
      <c r="J78" s="33"/>
      <c r="K78" s="39"/>
      <c r="L78" s="22"/>
      <c r="M78" s="22"/>
    </row>
    <row r="79" spans="1:13" ht="14.1" customHeight="1" x14ac:dyDescent="0.2">
      <c r="C79" s="14" t="s">
        <v>40</v>
      </c>
      <c r="D79" s="5">
        <f t="shared" ref="D79" si="43">D81+D80+D82</f>
        <v>15585.643486470002</v>
      </c>
      <c r="E79" s="5">
        <f t="shared" ref="E79:H79" si="44">E81+E80+E82</f>
        <v>15723.294663189999</v>
      </c>
      <c r="F79" s="1">
        <f t="shared" si="44"/>
        <v>15971.86842565</v>
      </c>
      <c r="G79" s="1">
        <f t="shared" si="44"/>
        <v>16244.825144910001</v>
      </c>
      <c r="H79" s="1">
        <f t="shared" si="44"/>
        <v>16359.266080610001</v>
      </c>
      <c r="I79" s="1">
        <f t="shared" ref="I79" si="45">I81+I80+I82</f>
        <v>16688.428253829999</v>
      </c>
      <c r="J79" s="33"/>
      <c r="K79" s="39"/>
      <c r="L79" s="38"/>
      <c r="M79" s="22"/>
    </row>
    <row r="80" spans="1:13" ht="12.75" customHeight="1" x14ac:dyDescent="0.2">
      <c r="A80" s="7">
        <v>11</v>
      </c>
      <c r="B80" s="7">
        <v>56</v>
      </c>
      <c r="C80" s="10" t="s">
        <v>45</v>
      </c>
      <c r="D80" s="6">
        <v>12316.906240940001</v>
      </c>
      <c r="E80" s="37">
        <v>12407.339078520001</v>
      </c>
      <c r="F80" s="3">
        <v>12590.70962725</v>
      </c>
      <c r="G80" s="3">
        <v>12782.42282068</v>
      </c>
      <c r="H80" s="3">
        <v>12839.636747690001</v>
      </c>
      <c r="I80" s="3">
        <f>13012419244.64/1000000</f>
        <v>13012.419244639999</v>
      </c>
      <c r="J80" s="33"/>
      <c r="K80" s="39"/>
      <c r="L80" s="34"/>
      <c r="M80" s="34"/>
    </row>
    <row r="81" spans="1:13" ht="12.75" customHeight="1" x14ac:dyDescent="0.2">
      <c r="A81" s="7">
        <v>11</v>
      </c>
      <c r="B81" s="7">
        <v>57</v>
      </c>
      <c r="C81" s="10" t="s">
        <v>46</v>
      </c>
      <c r="D81" s="6">
        <v>2082.82988316</v>
      </c>
      <c r="E81" s="37">
        <v>2129.4646210199999</v>
      </c>
      <c r="F81" s="3">
        <v>2179.14412803</v>
      </c>
      <c r="G81" s="3">
        <v>2262.3587265300002</v>
      </c>
      <c r="H81" s="3">
        <v>2329.6521270300004</v>
      </c>
      <c r="I81" s="3">
        <f>2371441555.18/1000000</f>
        <v>2371.4415551799998</v>
      </c>
      <c r="J81" s="33"/>
      <c r="K81" s="39"/>
      <c r="L81" s="34"/>
      <c r="M81" s="22"/>
    </row>
    <row r="82" spans="1:13" ht="12.75" customHeight="1" x14ac:dyDescent="0.2">
      <c r="A82" s="7">
        <v>7</v>
      </c>
      <c r="B82" s="7">
        <v>58</v>
      </c>
      <c r="C82" s="12" t="s">
        <v>47</v>
      </c>
      <c r="D82" s="6">
        <v>1185.9073623699999</v>
      </c>
      <c r="E82" s="37">
        <v>1186.4909636499999</v>
      </c>
      <c r="F82" s="3">
        <v>1202.01467037</v>
      </c>
      <c r="G82" s="3">
        <v>1200.0435977</v>
      </c>
      <c r="H82" s="3">
        <v>1189.9772058900001</v>
      </c>
      <c r="I82" s="3">
        <f>1304567454.01/1000000</f>
        <v>1304.5674540099999</v>
      </c>
      <c r="J82" s="33"/>
      <c r="K82" s="39"/>
      <c r="L82" s="38"/>
      <c r="M82" s="22"/>
    </row>
    <row r="83" spans="1:13" ht="14.1" customHeight="1" x14ac:dyDescent="0.2">
      <c r="A83" s="7">
        <v>10</v>
      </c>
      <c r="C83" s="14" t="s">
        <v>41</v>
      </c>
      <c r="D83" s="5">
        <f t="shared" ref="D83" si="46">SUM(D84:D89)</f>
        <v>2325.5541976</v>
      </c>
      <c r="E83" s="5">
        <f t="shared" ref="E83:G83" si="47">SUM(E84:E89)</f>
        <v>2362.2328560800001</v>
      </c>
      <c r="F83" s="1">
        <f t="shared" si="47"/>
        <v>2180.4363264299996</v>
      </c>
      <c r="G83" s="1">
        <f t="shared" si="47"/>
        <v>2199.0420647400001</v>
      </c>
      <c r="H83" s="1">
        <f t="shared" ref="H83" si="48">SUM(H84:H89)</f>
        <v>1986.7122874700001</v>
      </c>
      <c r="I83" s="1">
        <f t="shared" ref="I83" si="49">SUM(I84:I89)</f>
        <v>2364.7540764199994</v>
      </c>
      <c r="J83" s="33"/>
      <c r="K83" s="39"/>
      <c r="L83" s="38"/>
      <c r="M83" s="22"/>
    </row>
    <row r="84" spans="1:13" ht="12.75" customHeight="1" x14ac:dyDescent="0.2">
      <c r="B84" s="7">
        <v>59</v>
      </c>
      <c r="C84" s="10" t="s">
        <v>34</v>
      </c>
      <c r="D84" s="6">
        <v>132.65016621999999</v>
      </c>
      <c r="E84" s="37">
        <v>241.71739753</v>
      </c>
      <c r="F84" s="3">
        <v>131.34253992000001</v>
      </c>
      <c r="G84" s="3">
        <v>141.08776431000001</v>
      </c>
      <c r="H84" s="3">
        <v>152.43412978000001</v>
      </c>
      <c r="I84" s="3">
        <f>166096271.35/1000000</f>
        <v>166.09627134999999</v>
      </c>
      <c r="J84" s="33"/>
      <c r="K84" s="39"/>
      <c r="L84" s="22"/>
      <c r="M84" s="22"/>
    </row>
    <row r="85" spans="1:13" ht="12.75" customHeight="1" x14ac:dyDescent="0.2">
      <c r="B85" s="7">
        <v>60</v>
      </c>
      <c r="C85" s="10" t="s">
        <v>35</v>
      </c>
      <c r="D85" s="6">
        <v>109.38696646</v>
      </c>
      <c r="E85" s="37">
        <v>132.17747711999999</v>
      </c>
      <c r="F85" s="3">
        <v>112.5528494</v>
      </c>
      <c r="G85" s="3">
        <v>96.290675069999992</v>
      </c>
      <c r="H85" s="3">
        <v>166.72570440000001</v>
      </c>
      <c r="I85" s="3">
        <f>175960532.53/1000000</f>
        <v>175.96053252999999</v>
      </c>
      <c r="J85" s="33"/>
      <c r="K85" s="39"/>
      <c r="L85" s="22"/>
      <c r="M85" s="22"/>
    </row>
    <row r="86" spans="1:13" ht="12.75" customHeight="1" x14ac:dyDescent="0.2">
      <c r="B86" s="7">
        <v>61</v>
      </c>
      <c r="C86" s="10" t="s">
        <v>36</v>
      </c>
      <c r="D86" s="6">
        <v>742.91718834000005</v>
      </c>
      <c r="E86" s="37">
        <v>726.52266780000002</v>
      </c>
      <c r="F86" s="3">
        <v>794.30714991999992</v>
      </c>
      <c r="G86" s="3">
        <v>845.03619680999998</v>
      </c>
      <c r="H86" s="3">
        <v>667.95334100000002</v>
      </c>
      <c r="I86" s="3">
        <f>717299692.64/1000000</f>
        <v>717.29969263999999</v>
      </c>
      <c r="J86" s="33"/>
      <c r="K86" s="39"/>
      <c r="L86" s="22"/>
      <c r="M86" s="22"/>
    </row>
    <row r="87" spans="1:13" ht="12.75" customHeight="1" x14ac:dyDescent="0.2">
      <c r="B87" s="7">
        <v>62</v>
      </c>
      <c r="C87" s="10" t="s">
        <v>37</v>
      </c>
      <c r="D87" s="6">
        <v>301.05718143000001</v>
      </c>
      <c r="E87" s="37">
        <v>361.16189018</v>
      </c>
      <c r="F87" s="3">
        <v>363.50387098000004</v>
      </c>
      <c r="G87" s="3">
        <v>369.38186848999999</v>
      </c>
      <c r="H87" s="3">
        <v>393.73981513000001</v>
      </c>
      <c r="I87" s="3">
        <f>381826146.13/1000000</f>
        <v>381.82614612999998</v>
      </c>
      <c r="J87" s="33"/>
      <c r="K87" s="39"/>
      <c r="L87" s="22"/>
      <c r="M87" s="22"/>
    </row>
    <row r="88" spans="1:13" ht="12.75" customHeight="1" x14ac:dyDescent="0.2">
      <c r="B88" s="7">
        <v>63</v>
      </c>
      <c r="C88" s="10" t="s">
        <v>38</v>
      </c>
      <c r="D88" s="6">
        <v>943.03588519000004</v>
      </c>
      <c r="E88" s="37">
        <v>795.11480458999995</v>
      </c>
      <c r="F88" s="3">
        <v>681.34936702999994</v>
      </c>
      <c r="G88" s="3">
        <v>642.36381514000004</v>
      </c>
      <c r="H88" s="3">
        <v>521.15982438000003</v>
      </c>
      <c r="I88" s="3">
        <f>845969690.92/1000000</f>
        <v>845.96969091999995</v>
      </c>
      <c r="J88" s="33"/>
      <c r="K88" s="39"/>
      <c r="L88" s="22"/>
      <c r="M88" s="22"/>
    </row>
    <row r="89" spans="1:13" ht="12.75" customHeight="1" x14ac:dyDescent="0.2">
      <c r="B89" s="7">
        <v>64</v>
      </c>
      <c r="C89" s="10" t="s">
        <v>39</v>
      </c>
      <c r="D89" s="6">
        <v>96.506809959999998</v>
      </c>
      <c r="E89" s="37">
        <v>105.53861886</v>
      </c>
      <c r="F89" s="3">
        <v>97.380549180000003</v>
      </c>
      <c r="G89" s="3">
        <v>104.88174492</v>
      </c>
      <c r="H89" s="3">
        <v>84.699472780000008</v>
      </c>
      <c r="I89" s="3">
        <f>77601742.85/1000000</f>
        <v>77.601742849999994</v>
      </c>
      <c r="J89" s="33"/>
      <c r="K89" s="39"/>
      <c r="L89" s="22"/>
      <c r="M89" s="22"/>
    </row>
    <row r="90" spans="1:13" ht="13.5" customHeight="1" x14ac:dyDescent="0.2">
      <c r="A90" s="7">
        <v>9</v>
      </c>
      <c r="C90" s="14" t="s">
        <v>100</v>
      </c>
      <c r="D90" s="5">
        <f t="shared" ref="D90" si="50">SUM(D91:D93)</f>
        <v>2256.4559334699998</v>
      </c>
      <c r="E90" s="5">
        <f t="shared" ref="E90:H90" si="51">SUM(E91:E93)</f>
        <v>2369.3713739999998</v>
      </c>
      <c r="F90" s="1">
        <f t="shared" si="51"/>
        <v>1722.2541355999999</v>
      </c>
      <c r="G90" s="1">
        <f t="shared" si="51"/>
        <v>1510.1008428</v>
      </c>
      <c r="H90" s="1">
        <f t="shared" si="51"/>
        <v>1608.7230098499999</v>
      </c>
      <c r="I90" s="1">
        <f t="shared" ref="I90" si="52">SUM(I91:I93)</f>
        <v>2828.8337789500001</v>
      </c>
      <c r="J90" s="33"/>
      <c r="K90" s="39"/>
      <c r="L90" s="38"/>
      <c r="M90" s="22"/>
    </row>
    <row r="91" spans="1:13" ht="12.75" customHeight="1" x14ac:dyDescent="0.2">
      <c r="B91" s="7">
        <v>65</v>
      </c>
      <c r="C91" s="10" t="s">
        <v>31</v>
      </c>
      <c r="D91" s="25">
        <f>2068891334.01/1000000</f>
        <v>2068.8913340099998</v>
      </c>
      <c r="E91" s="37">
        <v>2183.0655218299999</v>
      </c>
      <c r="F91" s="18">
        <v>1504.62357744</v>
      </c>
      <c r="G91" s="18">
        <v>1183.39045151</v>
      </c>
      <c r="H91" s="18">
        <v>1152.52167558</v>
      </c>
      <c r="I91" s="18">
        <f>2255388722.1/1000000</f>
        <v>2255.3887221</v>
      </c>
      <c r="J91" s="33"/>
      <c r="K91" s="39"/>
      <c r="L91" s="22"/>
      <c r="M91" s="22"/>
    </row>
    <row r="92" spans="1:13" ht="12.75" customHeight="1" x14ac:dyDescent="0.2">
      <c r="B92" s="7">
        <v>66</v>
      </c>
      <c r="C92" s="10" t="s">
        <v>32</v>
      </c>
      <c r="D92" s="25">
        <v>3.4675094400000002</v>
      </c>
      <c r="E92" s="37">
        <v>3.0609088600000001</v>
      </c>
      <c r="F92" s="18">
        <v>2.6505102699999998</v>
      </c>
      <c r="G92" s="18">
        <v>2.2336860099999996</v>
      </c>
      <c r="H92" s="18">
        <v>1.8124336799999998</v>
      </c>
      <c r="I92" s="18">
        <f>1386654.46/1000000</f>
        <v>1.3866544599999999</v>
      </c>
      <c r="J92" s="33"/>
      <c r="K92" s="39"/>
      <c r="L92" s="22"/>
      <c r="M92" s="22"/>
    </row>
    <row r="93" spans="1:13" ht="12.75" customHeight="1" x14ac:dyDescent="0.2">
      <c r="B93" s="7">
        <v>67</v>
      </c>
      <c r="C93" s="10" t="s">
        <v>33</v>
      </c>
      <c r="D93" s="25">
        <f>184097090.02/1000000</f>
        <v>184.09709002000002</v>
      </c>
      <c r="E93" s="37">
        <v>183.24494331</v>
      </c>
      <c r="F93" s="18">
        <v>214.98004788999998</v>
      </c>
      <c r="G93" s="25">
        <v>324.47670527999998</v>
      </c>
      <c r="H93" s="18">
        <v>454.38890058999999</v>
      </c>
      <c r="I93" s="18">
        <f>572058402.39/1000000</f>
        <v>572.05840238999997</v>
      </c>
      <c r="J93" s="33"/>
      <c r="K93" s="39"/>
      <c r="L93" s="22"/>
      <c r="M93" s="22"/>
    </row>
    <row r="94" spans="1:13" ht="14.1" customHeight="1" x14ac:dyDescent="0.2">
      <c r="A94" s="7">
        <v>11</v>
      </c>
      <c r="B94" s="7">
        <v>68</v>
      </c>
      <c r="C94" s="14" t="s">
        <v>30</v>
      </c>
      <c r="D94" s="25">
        <v>13.912768380000001</v>
      </c>
      <c r="E94" s="37">
        <v>14.15798158</v>
      </c>
      <c r="F94" s="18">
        <v>14.21431276</v>
      </c>
      <c r="G94" s="18">
        <v>19.71039815</v>
      </c>
      <c r="H94" s="18">
        <v>11.20266133</v>
      </c>
      <c r="I94" s="18">
        <f>12475996.24/1000000</f>
        <v>12.475996240000001</v>
      </c>
      <c r="J94" s="33"/>
      <c r="K94" s="39"/>
      <c r="L94" s="22"/>
      <c r="M94" s="22"/>
    </row>
    <row r="95" spans="1:13" ht="14.1" customHeight="1" x14ac:dyDescent="0.2">
      <c r="C95" s="17" t="s">
        <v>10</v>
      </c>
      <c r="D95" s="26">
        <v>26197.778587549998</v>
      </c>
      <c r="E95" s="26">
        <v>27322.416721500002</v>
      </c>
      <c r="F95" s="26">
        <v>27532.799398079998</v>
      </c>
      <c r="G95" s="23">
        <v>27899.092232349998</v>
      </c>
      <c r="H95" s="31">
        <v>28345.61779172</v>
      </c>
      <c r="I95" s="31">
        <f>28531721831.72/1000000</f>
        <v>28531.721831720002</v>
      </c>
      <c r="J95" s="33"/>
      <c r="K95" s="39"/>
      <c r="L95" s="22"/>
      <c r="M95" s="22"/>
    </row>
    <row r="96" spans="1:13" ht="18.75" customHeight="1" x14ac:dyDescent="0.2">
      <c r="C96" s="2" t="s">
        <v>98</v>
      </c>
      <c r="D96" s="2"/>
      <c r="E96" s="8"/>
      <c r="F96" s="8"/>
      <c r="G96" s="8"/>
      <c r="H96" s="8"/>
      <c r="I96" s="8"/>
    </row>
    <row r="97" spans="3:9" ht="12.75" customHeight="1" x14ac:dyDescent="0.2">
      <c r="C97" s="2" t="s">
        <v>11</v>
      </c>
      <c r="D97" s="2"/>
      <c r="E97" s="8"/>
      <c r="F97" s="8"/>
      <c r="G97" s="8"/>
      <c r="H97" s="8"/>
      <c r="I97" s="8"/>
    </row>
    <row r="98" spans="3:9" ht="12.75" customHeight="1" x14ac:dyDescent="0.2">
      <c r="C98" s="2" t="s">
        <v>12</v>
      </c>
      <c r="D98" s="2"/>
      <c r="E98" s="8"/>
      <c r="F98" s="8"/>
      <c r="G98" s="8"/>
      <c r="H98" s="8"/>
      <c r="I98" s="8"/>
    </row>
    <row r="99" spans="3:9" ht="12.75" customHeight="1" x14ac:dyDescent="0.2">
      <c r="C99" s="4" t="s">
        <v>101</v>
      </c>
      <c r="D99" s="4"/>
      <c r="E99" s="8"/>
      <c r="F99" s="8"/>
      <c r="G99" s="8"/>
      <c r="H99" s="8"/>
      <c r="I99" s="8"/>
    </row>
    <row r="100" spans="3:9" ht="12.75" customHeight="1" x14ac:dyDescent="0.2">
      <c r="C100" s="4" t="s">
        <v>97</v>
      </c>
      <c r="D100" s="4"/>
      <c r="E100" s="8"/>
      <c r="F100" s="8"/>
      <c r="G100" s="8"/>
      <c r="H100" s="8"/>
      <c r="I100" s="8"/>
    </row>
    <row r="101" spans="3:9" ht="12.75" customHeight="1" x14ac:dyDescent="0.2">
      <c r="C101" s="2" t="s">
        <v>13</v>
      </c>
      <c r="D101" s="2"/>
      <c r="G101" s="8"/>
      <c r="H101" s="8"/>
      <c r="I101" s="8"/>
    </row>
    <row r="102" spans="3:9" ht="9.75" customHeight="1" x14ac:dyDescent="0.2">
      <c r="G102" s="8"/>
      <c r="H102" s="8"/>
      <c r="I102" s="8"/>
    </row>
    <row r="103" spans="3:9" x14ac:dyDescent="0.2">
      <c r="G103" s="8"/>
      <c r="H103" s="8"/>
      <c r="I103" s="8"/>
    </row>
    <row r="107" spans="3:9" ht="10.5" customHeight="1" x14ac:dyDescent="0.2"/>
    <row r="115" spans="5:6" x14ac:dyDescent="0.2">
      <c r="E115" s="40"/>
      <c r="F115" s="40"/>
    </row>
    <row r="116" spans="5:6" x14ac:dyDescent="0.2">
      <c r="E116" s="40"/>
      <c r="F116" s="40"/>
    </row>
    <row r="117" spans="5:6" x14ac:dyDescent="0.2">
      <c r="E117" s="40"/>
      <c r="F117" s="40"/>
    </row>
    <row r="118" spans="5:6" x14ac:dyDescent="0.2">
      <c r="F118" s="40"/>
    </row>
    <row r="119" spans="5:6" x14ac:dyDescent="0.2">
      <c r="E119" s="40"/>
      <c r="F119" s="40"/>
    </row>
    <row r="120" spans="5:6" x14ac:dyDescent="0.2">
      <c r="E120" s="40"/>
      <c r="F120" s="40"/>
    </row>
  </sheetData>
  <mergeCells count="8">
    <mergeCell ref="C3:I3"/>
    <mergeCell ref="C2:I2"/>
    <mergeCell ref="C1:I1"/>
    <mergeCell ref="C5:C7"/>
    <mergeCell ref="D6:G6"/>
    <mergeCell ref="C4:I4"/>
    <mergeCell ref="H6:I6"/>
    <mergeCell ref="D5:I5"/>
  </mergeCells>
  <printOptions horizontalCentered="1" verticalCentered="1"/>
  <pageMargins left="0.82677165354330717" right="0.82677165354330717" top="0.39370078740157483" bottom="0.39370078740157483" header="0" footer="0"/>
  <pageSetup paperSize="120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RODRIGUEZ</dc:creator>
  <cp:lastModifiedBy>JAHAYRA LOW</cp:lastModifiedBy>
  <cp:lastPrinted>2026-09-24T14:10:50Z</cp:lastPrinted>
  <dcterms:created xsi:type="dcterms:W3CDTF">2021-02-10T19:19:37Z</dcterms:created>
  <dcterms:modified xsi:type="dcterms:W3CDTF">2026-09-24T14:11:13Z</dcterms:modified>
</cp:coreProperties>
</file>